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ables/table3.xml" ContentType="application/vnd.openxmlformats-officedocument.spreadsheetml.table+xml"/>
  <Override PartName="/xl/queryTables/queryTable1.xml" ContentType="application/vnd.openxmlformats-officedocument.spreadsheetml.queryTable+xml"/>
  <Override PartName="/xl/pivotTables/pivotTable2.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A\Desktop\excel\data sets\"/>
    </mc:Choice>
  </mc:AlternateContent>
  <xr:revisionPtr revIDLastSave="0" documentId="13_ncr:1_{0EB68801-9A9F-4E94-B337-F78645DA0C3C}" xr6:coauthVersionLast="47" xr6:coauthVersionMax="47" xr10:uidLastSave="{00000000-0000-0000-0000-000000000000}"/>
  <bookViews>
    <workbookView xWindow="-120" yWindow="-120" windowWidth="20730" windowHeight="11160" firstSheet="5" activeTab="9" xr2:uid="{26D4546B-D2A1-4444-8EAF-A6228F96F0C1}"/>
  </bookViews>
  <sheets>
    <sheet name="Data" sheetId="1" r:id="rId1"/>
    <sheet name="India Staff" sheetId="2" r:id="rId2"/>
    <sheet name="pivot" sheetId="6" r:id="rId3"/>
    <sheet name="all staff" sheetId="3" r:id="rId4"/>
    <sheet name="people vs grow" sheetId="10" r:id="rId5"/>
    <sheet name="chart" sheetId="7" r:id="rId6"/>
    <sheet name="finding information" sheetId="4" r:id="rId7"/>
    <sheet name="salary vs rating" sheetId="8" r:id="rId8"/>
    <sheet name="Sheet6" sheetId="9" r:id="rId9"/>
    <sheet name="Card" sheetId="11" r:id="rId10"/>
    <sheet name="pivot2" sheetId="12" r:id="rId11"/>
  </sheets>
  <definedNames>
    <definedName name="_xlnm._FilterDatabase" localSheetId="0" hidden="1">Data!$C$5:$I$105</definedName>
    <definedName name="_xlnm._FilterDatabase" localSheetId="1" hidden="1">'India Staff'!$A$1:$G$1</definedName>
    <definedName name="_xlchart.v1.0" hidden="1">'all staff'!$I$1</definedName>
    <definedName name="_xlchart.v1.1" hidden="1">'all staff'!$I$2:$I$187</definedName>
    <definedName name="_xlchart.v1.2" hidden="1">'all staff'!$I$1</definedName>
    <definedName name="_xlchart.v1.3" hidden="1">'all staff'!$I$2:$I$187</definedName>
    <definedName name="_xlcn.WorksheetConnection_blankdatafile.xlsxstaff1" hidden="1">staff[]</definedName>
    <definedName name="ExternalData_1" localSheetId="3" hidden="1">'all staff'!$A$1:$K$186</definedName>
    <definedName name="Slicer_country">#N/A</definedName>
  </definedNames>
  <calcPr calcId="191029"/>
  <pivotCaches>
    <pivotCache cacheId="18" r:id="rId12"/>
    <pivotCache cacheId="19" r:id="rId13"/>
    <pivotCache cacheId="20" r:id="rId14"/>
    <pivotCache cacheId="61" r:id="rId15"/>
    <pivotCache cacheId="64" r:id="rId16"/>
  </pivotCaches>
  <extLst>
    <ext xmlns:x14="http://schemas.microsoft.com/office/spreadsheetml/2009/9/main" uri="{876F7934-8845-4945-9796-88D515C7AA90}">
      <x14:pivotCaches>
        <pivotCache cacheId="3" r:id="rId17"/>
      </x14:pivotCaches>
    </ex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lank-data-file.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11" l="1"/>
  <c r="D2" i="11"/>
  <c r="H2" i="11"/>
  <c r="C2" i="11"/>
  <c r="G2" i="11"/>
  <c r="B2" i="11"/>
  <c r="Q8" i="3"/>
  <c r="Q12" i="3"/>
  <c r="Q11" i="3"/>
  <c r="M2" i="3"/>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Q10" i="3"/>
  <c r="Q9" i="3"/>
  <c r="Q7" i="3" s="1"/>
  <c r="S4" i="3"/>
  <c r="S3" i="3"/>
  <c r="Q4" i="3"/>
  <c r="Q3" i="3"/>
  <c r="Q2" i="3"/>
  <c r="F167" i="3"/>
  <c r="G167" i="3" s="1"/>
  <c r="H167" i="3" s="1"/>
  <c r="L167" i="3" s="1"/>
  <c r="F86" i="3"/>
  <c r="G86" i="3" s="1"/>
  <c r="H86" i="3" s="1"/>
  <c r="L86" i="3" s="1"/>
  <c r="F36" i="3"/>
  <c r="G36" i="3" s="1"/>
  <c r="H36" i="3" s="1"/>
  <c r="L36" i="3" s="1"/>
  <c r="F177" i="3"/>
  <c r="G177" i="3" s="1"/>
  <c r="H177" i="3" s="1"/>
  <c r="L177" i="3" s="1"/>
  <c r="F38" i="3"/>
  <c r="G38" i="3" s="1"/>
  <c r="H38" i="3" s="1"/>
  <c r="L38" i="3" s="1"/>
  <c r="F161" i="3"/>
  <c r="G161" i="3" s="1"/>
  <c r="H161" i="3" s="1"/>
  <c r="L161" i="3" s="1"/>
  <c r="F26" i="3"/>
  <c r="G26" i="3" s="1"/>
  <c r="H26" i="3" s="1"/>
  <c r="L26" i="3" s="1"/>
  <c r="F62" i="3"/>
  <c r="G62" i="3" s="1"/>
  <c r="H62" i="3" s="1"/>
  <c r="L62" i="3" s="1"/>
  <c r="F42" i="3"/>
  <c r="G42" i="3" s="1"/>
  <c r="H42" i="3" s="1"/>
  <c r="L42" i="3" s="1"/>
  <c r="F185" i="3"/>
  <c r="G185" i="3" s="1"/>
  <c r="H185" i="3" s="1"/>
  <c r="L185" i="3" s="1"/>
  <c r="F159" i="3"/>
  <c r="G159" i="3" s="1"/>
  <c r="H159" i="3" s="1"/>
  <c r="L159" i="3" s="1"/>
  <c r="F68" i="3"/>
  <c r="G68" i="3" s="1"/>
  <c r="H68" i="3" s="1"/>
  <c r="L68" i="3" s="1"/>
  <c r="F78" i="3"/>
  <c r="G78" i="3" s="1"/>
  <c r="H78" i="3" s="1"/>
  <c r="L78" i="3" s="1"/>
  <c r="F153" i="3"/>
  <c r="G153" i="3" s="1"/>
  <c r="H153" i="3" s="1"/>
  <c r="L153" i="3" s="1"/>
  <c r="F18" i="3"/>
  <c r="G18" i="3" s="1"/>
  <c r="H18" i="3" s="1"/>
  <c r="L18" i="3" s="1"/>
  <c r="F137" i="3"/>
  <c r="G137" i="3" s="1"/>
  <c r="H137" i="3" s="1"/>
  <c r="L137" i="3" s="1"/>
  <c r="F8" i="3"/>
  <c r="G8" i="3" s="1"/>
  <c r="H8" i="3" s="1"/>
  <c r="L8" i="3" s="1"/>
  <c r="F48" i="3"/>
  <c r="G48" i="3" s="1"/>
  <c r="H48" i="3" s="1"/>
  <c r="L48" i="3" s="1"/>
  <c r="F14" i="3"/>
  <c r="G14" i="3" s="1"/>
  <c r="H14" i="3" s="1"/>
  <c r="L14" i="3" s="1"/>
  <c r="F98" i="3"/>
  <c r="G98" i="3" s="1"/>
  <c r="H98" i="3" s="1"/>
  <c r="L98" i="3" s="1"/>
  <c r="F52" i="3"/>
  <c r="G52" i="3" s="1"/>
  <c r="H52" i="3" s="1"/>
  <c r="L52" i="3" s="1"/>
  <c r="F72" i="3"/>
  <c r="G72" i="3" s="1"/>
  <c r="H72" i="3" s="1"/>
  <c r="L72" i="3" s="1"/>
  <c r="F50" i="3"/>
  <c r="G50" i="3" s="1"/>
  <c r="H50" i="3" s="1"/>
  <c r="L50" i="3" s="1"/>
  <c r="F30" i="3"/>
  <c r="G30" i="3" s="1"/>
  <c r="H30" i="3" s="1"/>
  <c r="L30" i="3" s="1"/>
  <c r="F64" i="3"/>
  <c r="G64" i="3" s="1"/>
  <c r="H64" i="3" s="1"/>
  <c r="L64" i="3" s="1"/>
  <c r="F92" i="3"/>
  <c r="G92" i="3" s="1"/>
  <c r="H92" i="3" s="1"/>
  <c r="L92" i="3" s="1"/>
  <c r="F119" i="3"/>
  <c r="G119" i="3" s="1"/>
  <c r="H119" i="3" s="1"/>
  <c r="L119" i="3" s="1"/>
  <c r="F4" i="3"/>
  <c r="G4" i="3" s="1"/>
  <c r="H4" i="3" s="1"/>
  <c r="L4" i="3" s="1"/>
  <c r="F100" i="3"/>
  <c r="G100" i="3" s="1"/>
  <c r="H100" i="3" s="1"/>
  <c r="L100" i="3" s="1"/>
  <c r="F58" i="3"/>
  <c r="G58" i="3" s="1"/>
  <c r="H58" i="3" s="1"/>
  <c r="L58" i="3" s="1"/>
  <c r="F96" i="3"/>
  <c r="G96" i="3" s="1"/>
  <c r="H96" i="3" s="1"/>
  <c r="L96" i="3" s="1"/>
  <c r="F179" i="3"/>
  <c r="G179" i="3" s="1"/>
  <c r="H179" i="3" s="1"/>
  <c r="L179" i="3" s="1"/>
  <c r="F107" i="3"/>
  <c r="G107" i="3" s="1"/>
  <c r="H107" i="3" s="1"/>
  <c r="L107" i="3" s="1"/>
  <c r="F157" i="3"/>
  <c r="G157" i="3" s="1"/>
  <c r="H157" i="3" s="1"/>
  <c r="L157" i="3" s="1"/>
  <c r="F32" i="3"/>
  <c r="G32" i="3" s="1"/>
  <c r="H32" i="3" s="1"/>
  <c r="L32" i="3" s="1"/>
  <c r="F139" i="3"/>
  <c r="G139" i="3" s="1"/>
  <c r="H139" i="3" s="1"/>
  <c r="L139" i="3" s="1"/>
  <c r="F133" i="3"/>
  <c r="G133" i="3" s="1"/>
  <c r="H133" i="3" s="1"/>
  <c r="L133" i="3" s="1"/>
  <c r="F143" i="3"/>
  <c r="G143" i="3" s="1"/>
  <c r="H143" i="3" s="1"/>
  <c r="L143" i="3" s="1"/>
  <c r="F28" i="3"/>
  <c r="G28" i="3" s="1"/>
  <c r="H28" i="3" s="1"/>
  <c r="L28" i="3" s="1"/>
  <c r="F34" i="3"/>
  <c r="G34" i="3" s="1"/>
  <c r="H34" i="3" s="1"/>
  <c r="L34" i="3" s="1"/>
  <c r="F105" i="3"/>
  <c r="G105" i="3" s="1"/>
  <c r="H105" i="3" s="1"/>
  <c r="L105" i="3" s="1"/>
  <c r="F117" i="3"/>
  <c r="G117" i="3" s="1"/>
  <c r="H117" i="3" s="1"/>
  <c r="L117" i="3" s="1"/>
  <c r="F113" i="3"/>
  <c r="G113" i="3" s="1"/>
  <c r="H113" i="3" s="1"/>
  <c r="L113" i="3" s="1"/>
  <c r="F129" i="3"/>
  <c r="G129" i="3" s="1"/>
  <c r="H129" i="3" s="1"/>
  <c r="L129" i="3" s="1"/>
  <c r="F163" i="3"/>
  <c r="G163" i="3" s="1"/>
  <c r="H163" i="3" s="1"/>
  <c r="L163" i="3" s="1"/>
  <c r="F109" i="3"/>
  <c r="G109" i="3" s="1"/>
  <c r="H109" i="3" s="1"/>
  <c r="L109" i="3" s="1"/>
  <c r="F76" i="3"/>
  <c r="G76" i="3" s="1"/>
  <c r="H76" i="3" s="1"/>
  <c r="L76" i="3" s="1"/>
  <c r="F111" i="3"/>
  <c r="G111" i="3" s="1"/>
  <c r="H111" i="3" s="1"/>
  <c r="L111" i="3" s="1"/>
  <c r="F54" i="3"/>
  <c r="G54" i="3" s="1"/>
  <c r="H54" i="3" s="1"/>
  <c r="L54" i="3" s="1"/>
  <c r="F183" i="3"/>
  <c r="G183" i="3" s="1"/>
  <c r="H183" i="3" s="1"/>
  <c r="L183" i="3" s="1"/>
  <c r="F24" i="3"/>
  <c r="G24" i="3" s="1"/>
  <c r="H24" i="3" s="1"/>
  <c r="L24" i="3" s="1"/>
  <c r="F20" i="3"/>
  <c r="G20" i="3" s="1"/>
  <c r="H20" i="3" s="1"/>
  <c r="L20" i="3" s="1"/>
  <c r="F164" i="3"/>
  <c r="G164" i="3" s="1"/>
  <c r="H164" i="3" s="1"/>
  <c r="L164" i="3" s="1"/>
  <c r="F175" i="3"/>
  <c r="G175" i="3" s="1"/>
  <c r="H175" i="3" s="1"/>
  <c r="L175" i="3" s="1"/>
  <c r="F82" i="3"/>
  <c r="G82" i="3" s="1"/>
  <c r="H82" i="3" s="1"/>
  <c r="L82" i="3" s="1"/>
  <c r="F88" i="3"/>
  <c r="G88" i="3" s="1"/>
  <c r="H88" i="3" s="1"/>
  <c r="L88" i="3" s="1"/>
  <c r="F155" i="3"/>
  <c r="G155" i="3" s="1"/>
  <c r="H155" i="3" s="1"/>
  <c r="L155" i="3" s="1"/>
  <c r="F169" i="3"/>
  <c r="G169" i="3" s="1"/>
  <c r="H169" i="3" s="1"/>
  <c r="L169" i="3" s="1"/>
  <c r="F80" i="3"/>
  <c r="G80" i="3" s="1"/>
  <c r="H80" i="3" s="1"/>
  <c r="L80" i="3" s="1"/>
  <c r="F181" i="3"/>
  <c r="G181" i="3" s="1"/>
  <c r="H181" i="3" s="1"/>
  <c r="L181" i="3" s="1"/>
  <c r="F102" i="3"/>
  <c r="G102" i="3" s="1"/>
  <c r="H102" i="3" s="1"/>
  <c r="L102" i="3" s="1"/>
  <c r="F173" i="3"/>
  <c r="G173" i="3" s="1"/>
  <c r="H173" i="3" s="1"/>
  <c r="L173" i="3" s="1"/>
  <c r="F125" i="3"/>
  <c r="G125" i="3" s="1"/>
  <c r="H125" i="3" s="1"/>
  <c r="L125" i="3" s="1"/>
  <c r="F149" i="3"/>
  <c r="G149" i="3" s="1"/>
  <c r="H149" i="3" s="1"/>
  <c r="L149" i="3" s="1"/>
  <c r="F44" i="3"/>
  <c r="G44" i="3" s="1"/>
  <c r="H44" i="3" s="1"/>
  <c r="L44" i="3" s="1"/>
  <c r="F123" i="3"/>
  <c r="G123" i="3" s="1"/>
  <c r="H123" i="3" s="1"/>
  <c r="L123" i="3" s="1"/>
  <c r="F46" i="3"/>
  <c r="G46" i="3" s="1"/>
  <c r="H46" i="3" s="1"/>
  <c r="L46" i="3" s="1"/>
  <c r="F131" i="3"/>
  <c r="G131" i="3" s="1"/>
  <c r="H131" i="3" s="1"/>
  <c r="L131" i="3" s="1"/>
  <c r="F70" i="3"/>
  <c r="G70" i="3" s="1"/>
  <c r="H70" i="3" s="1"/>
  <c r="L70" i="3" s="1"/>
  <c r="F22" i="3"/>
  <c r="G22" i="3" s="1"/>
  <c r="H22" i="3" s="1"/>
  <c r="L22" i="3" s="1"/>
  <c r="F60" i="3"/>
  <c r="G60" i="3" s="1"/>
  <c r="H60" i="3" s="1"/>
  <c r="L60" i="3" s="1"/>
  <c r="F145" i="3"/>
  <c r="G145" i="3" s="1"/>
  <c r="H145" i="3" s="1"/>
  <c r="L145" i="3" s="1"/>
  <c r="F121" i="3"/>
  <c r="G121" i="3" s="1"/>
  <c r="H121" i="3" s="1"/>
  <c r="L121" i="3" s="1"/>
  <c r="F141" i="3"/>
  <c r="G141" i="3" s="1"/>
  <c r="H141" i="3" s="1"/>
  <c r="L141" i="3" s="1"/>
  <c r="F171" i="3"/>
  <c r="G171" i="3" s="1"/>
  <c r="H171" i="3" s="1"/>
  <c r="L171" i="3" s="1"/>
  <c r="F2" i="3"/>
  <c r="G2" i="3" s="1"/>
  <c r="H2" i="3" s="1"/>
  <c r="L2" i="3" s="1"/>
  <c r="F151" i="3"/>
  <c r="G151" i="3" s="1"/>
  <c r="H151" i="3" s="1"/>
  <c r="L151" i="3" s="1"/>
  <c r="F10" i="3"/>
  <c r="G10" i="3" s="1"/>
  <c r="H10" i="3" s="1"/>
  <c r="L10" i="3" s="1"/>
  <c r="F127" i="3"/>
  <c r="G127" i="3" s="1"/>
  <c r="H127" i="3" s="1"/>
  <c r="L127" i="3" s="1"/>
  <c r="F6" i="3"/>
  <c r="G6" i="3" s="1"/>
  <c r="H6" i="3" s="1"/>
  <c r="L6" i="3" s="1"/>
  <c r="F147" i="3"/>
  <c r="G147" i="3" s="1"/>
  <c r="H147" i="3" s="1"/>
  <c r="L147" i="3" s="1"/>
  <c r="F135" i="3"/>
  <c r="G135" i="3" s="1"/>
  <c r="H135" i="3" s="1"/>
  <c r="L135" i="3" s="1"/>
  <c r="F115" i="3"/>
  <c r="G115" i="3" s="1"/>
  <c r="H115" i="3" s="1"/>
  <c r="L115" i="3" s="1"/>
  <c r="F16" i="3"/>
  <c r="G16" i="3" s="1"/>
  <c r="H16" i="3" s="1"/>
  <c r="L16" i="3" s="1"/>
  <c r="F56" i="3"/>
  <c r="G56" i="3" s="1"/>
  <c r="H56" i="3" s="1"/>
  <c r="L56" i="3" s="1"/>
  <c r="F66" i="3"/>
  <c r="G66" i="3" s="1"/>
  <c r="H66" i="3" s="1"/>
  <c r="L66" i="3" s="1"/>
  <c r="F12" i="3"/>
  <c r="G12" i="3" s="1"/>
  <c r="H12" i="3" s="1"/>
  <c r="L12" i="3" s="1"/>
  <c r="F94" i="3"/>
  <c r="G94" i="3" s="1"/>
  <c r="H94" i="3" s="1"/>
  <c r="L94" i="3" s="1"/>
  <c r="F90" i="3"/>
  <c r="G90" i="3" s="1"/>
  <c r="H90" i="3" s="1"/>
  <c r="L90" i="3" s="1"/>
  <c r="F74" i="3"/>
  <c r="G74" i="3" s="1"/>
  <c r="H74" i="3" s="1"/>
  <c r="L74" i="3" s="1"/>
  <c r="F84" i="3"/>
  <c r="G84" i="3" s="1"/>
  <c r="H84" i="3" s="1"/>
  <c r="L84" i="3" s="1"/>
  <c r="F39" i="3"/>
  <c r="G39" i="3" s="1"/>
  <c r="H39" i="3" s="1"/>
  <c r="L39" i="3" s="1"/>
  <c r="F104" i="3"/>
  <c r="G104" i="3" s="1"/>
  <c r="H104" i="3" s="1"/>
  <c r="L104" i="3" s="1"/>
  <c r="F165" i="3"/>
  <c r="G165" i="3" s="1"/>
  <c r="H165" i="3" s="1"/>
  <c r="L165" i="3" s="1"/>
  <c r="F19" i="3"/>
  <c r="G19" i="3" s="1"/>
  <c r="H19" i="3" s="1"/>
  <c r="L19" i="3" s="1"/>
  <c r="F144" i="3"/>
  <c r="G144" i="3" s="1"/>
  <c r="H144" i="3" s="1"/>
  <c r="L144" i="3" s="1"/>
  <c r="F21" i="3"/>
  <c r="G21" i="3" s="1"/>
  <c r="H21" i="3" s="1"/>
  <c r="L21" i="3" s="1"/>
  <c r="F178" i="3"/>
  <c r="G178" i="3" s="1"/>
  <c r="H178" i="3" s="1"/>
  <c r="L178" i="3" s="1"/>
  <c r="F47" i="3"/>
  <c r="G47" i="3" s="1"/>
  <c r="H47" i="3" s="1"/>
  <c r="L47" i="3" s="1"/>
  <c r="F132" i="3"/>
  <c r="G132" i="3" s="1"/>
  <c r="H132" i="3" s="1"/>
  <c r="L132" i="3" s="1"/>
  <c r="F126" i="3"/>
  <c r="G126" i="3" s="1"/>
  <c r="H126" i="3" s="1"/>
  <c r="L126" i="3" s="1"/>
  <c r="F91" i="3"/>
  <c r="G91" i="3" s="1"/>
  <c r="H91" i="3" s="1"/>
  <c r="L91" i="3" s="1"/>
  <c r="F158" i="3"/>
  <c r="G158" i="3" s="1"/>
  <c r="H158" i="3" s="1"/>
  <c r="L158" i="3" s="1"/>
  <c r="F148" i="3"/>
  <c r="G148" i="3" s="1"/>
  <c r="H148" i="3" s="1"/>
  <c r="L148" i="3" s="1"/>
  <c r="F136" i="3"/>
  <c r="G136" i="3" s="1"/>
  <c r="H136" i="3" s="1"/>
  <c r="L136" i="3" s="1"/>
  <c r="F25" i="3"/>
  <c r="G25" i="3" s="1"/>
  <c r="H25" i="3" s="1"/>
  <c r="L25" i="3" s="1"/>
  <c r="F9" i="3"/>
  <c r="G9" i="3" s="1"/>
  <c r="H9" i="3" s="1"/>
  <c r="L9" i="3" s="1"/>
  <c r="F166" i="3"/>
  <c r="G166" i="3" s="1"/>
  <c r="H166" i="3" s="1"/>
  <c r="L166" i="3" s="1"/>
  <c r="F33" i="3"/>
  <c r="G33" i="3" s="1"/>
  <c r="H33" i="3" s="1"/>
  <c r="L33" i="3" s="1"/>
  <c r="F184" i="3"/>
  <c r="G184" i="3" s="1"/>
  <c r="H184" i="3" s="1"/>
  <c r="L184" i="3" s="1"/>
  <c r="F83" i="3"/>
  <c r="G83" i="3" s="1"/>
  <c r="H83" i="3" s="1"/>
  <c r="L83" i="3" s="1"/>
  <c r="F110" i="3"/>
  <c r="G110" i="3" s="1"/>
  <c r="H110" i="3" s="1"/>
  <c r="L110" i="3" s="1"/>
  <c r="F103" i="3"/>
  <c r="G103" i="3" s="1"/>
  <c r="H103" i="3" s="1"/>
  <c r="L103" i="3" s="1"/>
  <c r="F45" i="3"/>
  <c r="G45" i="3" s="1"/>
  <c r="H45" i="3" s="1"/>
  <c r="L45" i="3" s="1"/>
  <c r="F122" i="3"/>
  <c r="G122" i="3" s="1"/>
  <c r="H122" i="3" s="1"/>
  <c r="L122" i="3" s="1"/>
  <c r="F7" i="3"/>
  <c r="G7" i="3" s="1"/>
  <c r="H7" i="3" s="1"/>
  <c r="L7" i="3" s="1"/>
  <c r="F93" i="3"/>
  <c r="G93" i="3" s="1"/>
  <c r="H93" i="3" s="1"/>
  <c r="L93" i="3" s="1"/>
  <c r="F11" i="3"/>
  <c r="G11" i="3" s="1"/>
  <c r="H11" i="3" s="1"/>
  <c r="L11" i="3" s="1"/>
  <c r="F142" i="3"/>
  <c r="G142" i="3" s="1"/>
  <c r="H142" i="3" s="1"/>
  <c r="L142" i="3" s="1"/>
  <c r="F51" i="3"/>
  <c r="G51" i="3" s="1"/>
  <c r="H51" i="3" s="1"/>
  <c r="L51" i="3" s="1"/>
  <c r="F174" i="3"/>
  <c r="G174" i="3" s="1"/>
  <c r="H174" i="3" s="1"/>
  <c r="L174" i="3" s="1"/>
  <c r="F13" i="3"/>
  <c r="G13" i="3" s="1"/>
  <c r="H13" i="3" s="1"/>
  <c r="L13" i="3" s="1"/>
  <c r="F162" i="3"/>
  <c r="G162" i="3" s="1"/>
  <c r="H162" i="3" s="1"/>
  <c r="L162" i="3" s="1"/>
  <c r="F23" i="3"/>
  <c r="G23" i="3" s="1"/>
  <c r="H23" i="3" s="1"/>
  <c r="L23" i="3" s="1"/>
  <c r="F71" i="3"/>
  <c r="G71" i="3" s="1"/>
  <c r="H71" i="3" s="1"/>
  <c r="L71" i="3" s="1"/>
  <c r="F140" i="3"/>
  <c r="G140" i="3" s="1"/>
  <c r="H140" i="3" s="1"/>
  <c r="L140" i="3" s="1"/>
  <c r="F112" i="3"/>
  <c r="G112" i="3" s="1"/>
  <c r="H112" i="3" s="1"/>
  <c r="L112" i="3" s="1"/>
  <c r="F35" i="3"/>
  <c r="G35" i="3" s="1"/>
  <c r="H35" i="3" s="1"/>
  <c r="L35" i="3" s="1"/>
  <c r="F160" i="3"/>
  <c r="G160" i="3" s="1"/>
  <c r="H160" i="3" s="1"/>
  <c r="L160" i="3" s="1"/>
  <c r="F186" i="3"/>
  <c r="G186" i="3" s="1"/>
  <c r="H186" i="3" s="1"/>
  <c r="L186" i="3" s="1"/>
  <c r="F168" i="3"/>
  <c r="G168" i="3" s="1"/>
  <c r="H168" i="3" s="1"/>
  <c r="L168" i="3" s="1"/>
  <c r="F176" i="3"/>
  <c r="G176" i="3" s="1"/>
  <c r="H176" i="3" s="1"/>
  <c r="L176" i="3" s="1"/>
  <c r="F31" i="3"/>
  <c r="G31" i="3" s="1"/>
  <c r="H31" i="3" s="1"/>
  <c r="L31" i="3" s="1"/>
  <c r="F99" i="3"/>
  <c r="G99" i="3" s="1"/>
  <c r="H99" i="3" s="1"/>
  <c r="L99" i="3" s="1"/>
  <c r="F37" i="3"/>
  <c r="G37" i="3" s="1"/>
  <c r="H37" i="3" s="1"/>
  <c r="L37" i="3" s="1"/>
  <c r="F116" i="3"/>
  <c r="G116" i="3" s="1"/>
  <c r="H116" i="3" s="1"/>
  <c r="L116" i="3" s="1"/>
  <c r="F3" i="3"/>
  <c r="G3" i="3" s="1"/>
  <c r="H3" i="3" s="1"/>
  <c r="L3" i="3" s="1"/>
  <c r="F95" i="3"/>
  <c r="G95" i="3" s="1"/>
  <c r="H95" i="3" s="1"/>
  <c r="L95" i="3" s="1"/>
  <c r="F53" i="3"/>
  <c r="G53" i="3" s="1"/>
  <c r="H53" i="3" s="1"/>
  <c r="L53" i="3" s="1"/>
  <c r="F150" i="3"/>
  <c r="G150" i="3" s="1"/>
  <c r="H150" i="3" s="1"/>
  <c r="L150" i="3" s="1"/>
  <c r="F49" i="3"/>
  <c r="G49" i="3" s="1"/>
  <c r="H49" i="3" s="1"/>
  <c r="L49" i="3" s="1"/>
  <c r="F128" i="3"/>
  <c r="G128" i="3" s="1"/>
  <c r="H128" i="3" s="1"/>
  <c r="L128" i="3" s="1"/>
  <c r="F85" i="3"/>
  <c r="G85" i="3" s="1"/>
  <c r="H85" i="3" s="1"/>
  <c r="L85" i="3" s="1"/>
  <c r="F101" i="3"/>
  <c r="G101" i="3" s="1"/>
  <c r="H101" i="3" s="1"/>
  <c r="L101" i="3" s="1"/>
  <c r="F124" i="3"/>
  <c r="G124" i="3" s="1"/>
  <c r="H124" i="3" s="1"/>
  <c r="L124" i="3" s="1"/>
  <c r="F61" i="3"/>
  <c r="G61" i="3" s="1"/>
  <c r="H61" i="3" s="1"/>
  <c r="L61" i="3" s="1"/>
  <c r="F180" i="3"/>
  <c r="G180" i="3" s="1"/>
  <c r="H180" i="3" s="1"/>
  <c r="L180" i="3" s="1"/>
  <c r="F67" i="3"/>
  <c r="G67" i="3" s="1"/>
  <c r="H67" i="3" s="1"/>
  <c r="L67" i="3" s="1"/>
  <c r="F65" i="3"/>
  <c r="G65" i="3" s="1"/>
  <c r="H65" i="3" s="1"/>
  <c r="L65" i="3" s="1"/>
  <c r="F130" i="3"/>
  <c r="G130" i="3" s="1"/>
  <c r="H130" i="3" s="1"/>
  <c r="L130" i="3" s="1"/>
  <c r="F29" i="3"/>
  <c r="G29" i="3" s="1"/>
  <c r="H29" i="3" s="1"/>
  <c r="L29" i="3" s="1"/>
  <c r="F114" i="3"/>
  <c r="G114" i="3" s="1"/>
  <c r="H114" i="3" s="1"/>
  <c r="L114" i="3" s="1"/>
  <c r="F120" i="3"/>
  <c r="G120" i="3" s="1"/>
  <c r="H120" i="3" s="1"/>
  <c r="L120" i="3" s="1"/>
  <c r="F77" i="3"/>
  <c r="G77" i="3" s="1"/>
  <c r="H77" i="3" s="1"/>
  <c r="L77" i="3" s="1"/>
  <c r="F40" i="3"/>
  <c r="G40" i="3" s="1"/>
  <c r="H40" i="3" s="1"/>
  <c r="L40" i="3" s="1"/>
  <c r="F17" i="3"/>
  <c r="G17" i="3" s="1"/>
  <c r="H17" i="3" s="1"/>
  <c r="L17" i="3" s="1"/>
  <c r="F156" i="3"/>
  <c r="G156" i="3" s="1"/>
  <c r="H156" i="3" s="1"/>
  <c r="L156" i="3" s="1"/>
  <c r="F138" i="3"/>
  <c r="G138" i="3" s="1"/>
  <c r="H138" i="3" s="1"/>
  <c r="L138" i="3" s="1"/>
  <c r="F15" i="3"/>
  <c r="G15" i="3" s="1"/>
  <c r="H15" i="3" s="1"/>
  <c r="L15" i="3" s="1"/>
  <c r="F89" i="3"/>
  <c r="G89" i="3" s="1"/>
  <c r="H89" i="3" s="1"/>
  <c r="L89" i="3" s="1"/>
  <c r="F170" i="3"/>
  <c r="G170" i="3" s="1"/>
  <c r="H170" i="3" s="1"/>
  <c r="L170" i="3" s="1"/>
  <c r="F118" i="3"/>
  <c r="G118" i="3" s="1"/>
  <c r="H118" i="3" s="1"/>
  <c r="L118" i="3" s="1"/>
  <c r="F41" i="3"/>
  <c r="G41" i="3" s="1"/>
  <c r="H41" i="3" s="1"/>
  <c r="L41" i="3" s="1"/>
  <c r="F79" i="3"/>
  <c r="G79" i="3" s="1"/>
  <c r="H79" i="3" s="1"/>
  <c r="L79" i="3" s="1"/>
  <c r="F73" i="3"/>
  <c r="G73" i="3" s="1"/>
  <c r="H73" i="3" s="1"/>
  <c r="L73" i="3" s="1"/>
  <c r="F81" i="3"/>
  <c r="G81" i="3" s="1"/>
  <c r="H81" i="3" s="1"/>
  <c r="L81" i="3" s="1"/>
  <c r="F59" i="3"/>
  <c r="G59" i="3" s="1"/>
  <c r="H59" i="3" s="1"/>
  <c r="L59" i="3" s="1"/>
  <c r="F152" i="3"/>
  <c r="G152" i="3" s="1"/>
  <c r="H152" i="3" s="1"/>
  <c r="L152" i="3" s="1"/>
  <c r="F182" i="3"/>
  <c r="G182" i="3" s="1"/>
  <c r="H182" i="3" s="1"/>
  <c r="L182" i="3" s="1"/>
  <c r="F106" i="3"/>
  <c r="G106" i="3" s="1"/>
  <c r="H106" i="3" s="1"/>
  <c r="L106" i="3" s="1"/>
  <c r="F172" i="3"/>
  <c r="G172" i="3" s="1"/>
  <c r="H172" i="3" s="1"/>
  <c r="L172" i="3" s="1"/>
  <c r="F146" i="3"/>
  <c r="G146" i="3" s="1"/>
  <c r="H146" i="3" s="1"/>
  <c r="L146" i="3" s="1"/>
  <c r="F75" i="3"/>
  <c r="G75" i="3" s="1"/>
  <c r="H75" i="3" s="1"/>
  <c r="L75" i="3" s="1"/>
  <c r="F5" i="3"/>
  <c r="G5" i="3" s="1"/>
  <c r="H5" i="3" s="1"/>
  <c r="L5" i="3" s="1"/>
  <c r="F63" i="3"/>
  <c r="G63" i="3" s="1"/>
  <c r="H63" i="3" s="1"/>
  <c r="L63" i="3" s="1"/>
  <c r="F154" i="3"/>
  <c r="G154" i="3" s="1"/>
  <c r="H154" i="3" s="1"/>
  <c r="L154" i="3" s="1"/>
  <c r="F69" i="3"/>
  <c r="G69" i="3" s="1"/>
  <c r="H69" i="3" s="1"/>
  <c r="L69" i="3" s="1"/>
  <c r="F97" i="3"/>
  <c r="G97" i="3" s="1"/>
  <c r="H97" i="3" s="1"/>
  <c r="L97" i="3" s="1"/>
  <c r="F43" i="3"/>
  <c r="G43" i="3" s="1"/>
  <c r="H43" i="3" s="1"/>
  <c r="L43" i="3" s="1"/>
  <c r="F108" i="3"/>
  <c r="G108" i="3" s="1"/>
  <c r="H108" i="3" s="1"/>
  <c r="L108" i="3" s="1"/>
  <c r="F55" i="3"/>
  <c r="G55" i="3" s="1"/>
  <c r="H55" i="3" s="1"/>
  <c r="L55" i="3" s="1"/>
  <c r="F87" i="3"/>
  <c r="G87" i="3" s="1"/>
  <c r="H87" i="3" s="1"/>
  <c r="L87" i="3" s="1"/>
  <c r="F57" i="3"/>
  <c r="G57" i="3" s="1"/>
  <c r="H57" i="3" s="1"/>
  <c r="L57" i="3" s="1"/>
  <c r="F27" i="3"/>
  <c r="G27" i="3" s="1"/>
  <c r="H27" i="3" s="1"/>
  <c r="L27" i="3" s="1"/>
  <c r="F134" i="3"/>
  <c r="G134" i="3" s="1"/>
  <c r="H134" i="3" s="1"/>
  <c r="L134" i="3" s="1"/>
  <c r="B94" i="2"/>
  <c r="A94" i="2"/>
  <c r="G94" i="2"/>
  <c r="H106" i="1"/>
  <c r="C94" i="2"/>
  <c r="F106" i="1"/>
  <c r="G106" i="1"/>
  <c r="I106" i="1"/>
  <c r="B6" i="4" l="1" a="1"/>
  <c r="B6" i="4" s="1"/>
  <c r="C4" i="4" s="1"/>
  <c r="Q14" i="3" a="1"/>
  <c r="Q14" i="3" s="1"/>
  <c r="Q17" i="3"/>
  <c r="Q15" i="3" a="1"/>
  <c r="Q15" i="3" s="1"/>
  <c r="Q6" i="3"/>
  <c r="S5" i="3"/>
  <c r="Q5"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2056A1A-44C7-4882-A010-6A8A98D63018}" keepAlive="1" name="Query - indian" description="Connection to the 'indian' query in the workbook." type="5" refreshedVersion="0" background="1">
    <dbPr connection="Provider=Microsoft.Mashup.OleDb.1;Data Source=$Workbook$;Location=indian;Extended Properties=&quot;&quot;" command="SELECT * FROM [indian]"/>
  </connection>
  <connection id="2" xr16:uid="{35A27D81-1015-46DA-9E0F-A58330560C73}" keepAlive="1" name="Query - newzeland (2)" description="Connection to the 'newzeland (2)' query in the workbook." type="5" refreshedVersion="0" background="1">
    <dbPr connection="Provider=Microsoft.Mashup.OleDb.1;Data Source=$Workbook$;Location=&quot;newzeland (2)&quot;;Extended Properties=&quot;&quot;" command="SELECT * FROM [newzeland (2)]"/>
  </connection>
  <connection id="3" xr16:uid="{D5446834-C79B-4D73-ABD4-68AF6A25DBCB}"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9C3B9FBE-7AFA-439E-9BC6-1A0BF10A9F6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F875D7AD-34E3-42BC-834B-B3AD971595DB}" name="WorksheetConnection_blank-data-file.xlsx!staff" type="102" refreshedVersion="8" minRefreshableVersion="5">
    <extLst>
      <ext xmlns:x15="http://schemas.microsoft.com/office/spreadsheetml/2010/11/main" uri="{DE250136-89BD-433C-8126-D09CA5730AF9}">
        <x15:connection id="staff" autoDelete="1">
          <x15:rangePr sourceName="_xlcn.WorksheetConnection_blankdatafile.xlsxstaff1"/>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4">
    <s v="ThisWorkbookDataModel"/>
    <s v="{[staff].[Date Joined (Quarter)].[All]}"/>
    <s v="{[staff].[country].&amp;[NZ]}"/>
    <s v="{[staff].[country].&amp;[india]}"/>
  </metadataStrings>
  <mdxMetadata count="3">
    <mdx n="0" f="s">
      <ms ns="1" c="0"/>
    </mdx>
    <mdx n="0" f="s">
      <ms ns="2" c="0"/>
    </mdx>
    <mdx n="0" f="s">
      <ms ns="3" c="0"/>
    </mdx>
  </mdxMetadata>
  <futureMetadata name="XLDAPR" count="1">
    <bk>
      <extLst>
        <ext uri="{bdbb8cdc-fa1e-496e-a857-3c3f30c029c3}">
          <xda:dynamicArrayProperties fDynamic="1" fCollapsed="0"/>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<sst xmlns="http://schemas.openxmlformats.org/spreadsheetml/2006/main" count="1820" uniqueCount="258">
  <si>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</si>
  <si>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</si>
  <si>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</si>
  <si>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</si>
  <si>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</si>
  <si>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</si>
  <si>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</si>
  <si>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</si>
  <si>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</si>
  <si>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</si>
  <si>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</si>
  <si>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</si>
  <si>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</si>
  <si>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</si>
  <si>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</si>
  <si>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</si>
  <si>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</si>
  <si>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</si>
  <si>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</si>
  <si>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</si>
  <si>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</si>
  <si>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</si>
  <si>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</si>
  <si>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</si>
  <si>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</si>
  <si>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</si>
  <si>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</si>
  <si>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</si>
  <si>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</si>
  <si>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</si>
  <si>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</si>
  <si>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</si>
  <si>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</si>
  <si>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</si>
  <si>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</si>
  <si>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</si>
  <si>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</si>
  <si>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</si>
  <si>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</si>
  <si>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</si>
  <si>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</si>
  <si>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</si>
  <si>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</si>
  <si>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</si>
  <si>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</si>
  <si>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</si>
  <si>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</si>
  <si>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</si>
  <si>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</si>
  <si>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</si>
  <si>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</si>
  <si>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</si>
  <si>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</si>
  <si>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</si>
  <si>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</si>
  <si>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</si>
  <si>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</si>
  <si>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</si>
  <si>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</si>
  <si>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</si>
  <si>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</si>
  <si>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</si>
  <si>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</si>
  <si>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</si>
  <si>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</si>
  <si>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</si>
  <si>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</si>
  <si>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</si>
  <si>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</si>
  <si>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</si>
  <si>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</si>
  <si>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</si>
  <si>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</si>
  <si>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</si>
  <si>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</si>
  <si>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</si>
  <si>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</si>
  <si>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</si>
  <si>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</si>
  <si>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</si>
  <si>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</si>
  <si>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</si>
  <si>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</si>
  <si>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</si>
  <si>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</si>
  <si>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</si>
  <si>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</si>
  <si>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</si>
  <si>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</si>
  <si>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</si>
  <si>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</si>
  <si>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</si>
  <si>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</si>
  <si>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</si>
  <si>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</si>
  <si>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</si>
  <si>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</si>
  <si>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</si>
  <si>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</si>
  <si>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</si>
  <si>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</si>
  <si>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</si>
  <si>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</si>
  <si>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</si>
  <si>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</si>
  <si>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</si>
  <si>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</si>
  <si>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</si>
  <si>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</si>
  <si>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</si>
  <si>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</si>
  <si>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</si>
  <si>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</si>
  <si>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</si>
  <si>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</si>
  <si>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</si>
  <si>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</si>
  <si>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</si>
  <si>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</si>
  <si>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</si>
  <si>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</si>
  <si>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</si>
  <si>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</si>
  <si>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</si>
  <si>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</si>
  <si>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</si>
  <si>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</si>
  <si>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</si>
  <si>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</si>
  <si>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</si>
  <si>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</si>
  <si>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</si>
  <si>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</si>
  <si>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</si>
  <si>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</si>
  <si>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</si>
  <si>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</si>
  <si>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</si>
  <si>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</si>
  <si>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</si>
  <si>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</si>
  <si>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</si>
  <si>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</si>
  <si>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</si>
  <si>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</si>
  <si>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</si>
  <si>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</si>
  <si>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</si>
  <si>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</si>
  <si>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</si>
  <si>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</si>
  <si>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</si>
  <si>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</si>
  <si>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</si>
  <si>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</si>
  <si>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</si>
  <si>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</si>
  <si>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</si>
  <si>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</si>
  <si>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</si>
  <si>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</si>
  <si>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</si>
  <si>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</si>
  <si>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</si>
  <si>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</si>
  <si>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</si>
  <si>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</si>
  <si>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</si>
  <si>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</si>
  <si>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</si>
  <si>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</si>
  <si>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</si>
  <si>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</si>
  <si>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</si>
  <si>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</si>
  <si>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</si>
  <si>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</si>
  <si>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</si>
  <si>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</si>
  <si>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</si>
  <si>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</si>
  <si>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</si>
  <si>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</si>
  <si>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</si>
  <si>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</si>
  <si>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</si>
  <si>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</si>
  <si>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</si>
  <si>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</si>
  <si>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</si>
  <si>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</si>
  <si>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</si>
  <si>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</si>
  <si>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</si>
  <si>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</si>
  <si>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</si>
  <si>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</si>
  <si>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</si>
  <si>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</si>
  <si>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</si>
  <si>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</si>
  <si>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</si>
  <si>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</si>
  <si>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</si>
  <si>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</si>
  <si>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NZ</t>
  </si>
  <si>
    <t>other</t>
  </si>
  <si>
    <t>india</t>
  </si>
  <si>
    <t>count of employees</t>
  </si>
  <si>
    <t>average of salary</t>
  </si>
  <si>
    <t>average of age</t>
  </si>
  <si>
    <t>average of tenure</t>
  </si>
  <si>
    <t>current date</t>
  </si>
  <si>
    <t>tenure</t>
  </si>
  <si>
    <t>female ratio</t>
  </si>
  <si>
    <t>median</t>
  </si>
  <si>
    <t>count of female</t>
  </si>
  <si>
    <t>tenure in year</t>
  </si>
  <si>
    <t>count of age</t>
  </si>
  <si>
    <t>xlookup</t>
  </si>
  <si>
    <t>vlookup</t>
  </si>
  <si>
    <t>Department name</t>
  </si>
  <si>
    <t>number of people</t>
  </si>
  <si>
    <t>WebSite</t>
  </si>
  <si>
    <t>Column Labels</t>
  </si>
  <si>
    <t>Grand Total</t>
  </si>
  <si>
    <t>Row Labels</t>
  </si>
  <si>
    <t>Count of Name</t>
  </si>
  <si>
    <t>Average of Age</t>
  </si>
  <si>
    <t>Average of Salary</t>
  </si>
  <si>
    <t>Sum of tenure in year</t>
  </si>
  <si>
    <t>Average of tenure in year</t>
  </si>
  <si>
    <t>All</t>
  </si>
  <si>
    <t>Values</t>
  </si>
  <si>
    <t>Bouns</t>
  </si>
  <si>
    <t>ranting  in number</t>
  </si>
  <si>
    <t>2020</t>
  </si>
  <si>
    <t>May</t>
  </si>
  <si>
    <t>Jun</t>
  </si>
  <si>
    <t>Jul</t>
  </si>
  <si>
    <t>Aug</t>
  </si>
  <si>
    <t>Sep</t>
  </si>
  <si>
    <t>Oct</t>
  </si>
  <si>
    <t>Nov</t>
  </si>
  <si>
    <t>Dec</t>
  </si>
  <si>
    <t>2021</t>
  </si>
  <si>
    <t>Jan</t>
  </si>
  <si>
    <t>Feb</t>
  </si>
  <si>
    <t>Mar</t>
  </si>
  <si>
    <t>Apr</t>
  </si>
  <si>
    <t>2022</t>
  </si>
  <si>
    <t>2023</t>
  </si>
  <si>
    <t>Date Joined (Quarter)</t>
  </si>
  <si>
    <t>count  salary &gt;90000</t>
  </si>
  <si>
    <t>ratio of salary &gt;90000</t>
  </si>
  <si>
    <t>Headcount By Department</t>
  </si>
  <si>
    <t>Newzeland</t>
  </si>
  <si>
    <t>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</si>
</sst>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8" formatCode="&quot;$&quot;#,##0.00_);[Red]\(&quot;$&quot;#,##0.00\)"/>
    <numFmt numFmtId="44" formatCode="_(&quot;$&quot;* #,##0.00_);_(&quot;$&quot;* \(#,##0.00\);_(&quot;$&quot;* &quot;-&quot;??_);_(@_)"/>
    <numFmt numFmtId="164" formatCode="&quot;$&quot;#,##0"/>
    <numFmt numFmtId="165" formatCode="_(&quot;$&quot;* #,##0_);_(&quot;$&quot;* \(#,##0\);_(&quot;$&quot;* &quot;-&quot;??_);_(@_)"/>
  </numFmts>
  <fonts count="8">
    <font>
      <sz val="11"/>
      <color theme="1"/>
      <name val="Calibri"/>
      <family val="2"/>
      <scheme val="minor"/>
    </font>
    <font>
      <sz val="28"/>
      <color theme="1"/>
      <name val="Segoe UI Light"/>
      <family val="2"/>
    </font>
    <font>
      <sz val="11"/>
      <color theme="1"/>
      <name val="Calibri"/>
      <family val="2"/>
      <scheme val="minor"/>
    </font>
    <font>
      <b/>
      <sz val="24"/>
      <color theme="0"/>
      <name val="Cegaeu"/>
    </font>
    <font>
      <b/>
      <sz val="24"/>
      <color theme="0"/>
      <name val="Seaford Display"/>
    </font>
    <font>
      <b/>
      <sz val="20"/>
      <color theme="0"/>
      <name val="Calibri"/>
      <family val="2"/>
      <scheme val="minor"/>
    </font>
    <font>
      <sz val="16"/>
      <color theme="1"/>
      <name val="Calibri"/>
      <family val="2"/>
      <scheme val="minor"/>
    </font>
    <font>
      <b/>
      <sz val="18"/>
      <name val="Calibri"/>
      <family val="2"/>
      <scheme val="minor"/>
    </font>
  </fonts>
  <fills count="9">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5" tint="0.39997558519241921"/>
        <bgColor indexed="64"/>
      </patternFill>
    </fill>
    <fill>
      <patternFill patternType="solid">
        <fgColor theme="5"/>
        <bgColor indexed="64"/>
      </patternFill>
    </fill>
    <fill>
      <patternFill patternType="solid">
        <fgColor theme="7"/>
        <bgColor indexed="64"/>
      </patternFill>
    </fill>
    <fill>
      <patternFill patternType="solid">
        <fgColor rgb="FF00B0F0"/>
        <bgColor indexed="64"/>
      </patternFill>
    </fill>
    <fill>
      <patternFill patternType="solid">
        <fgColor theme="3"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45">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0" fontId="0" fillId="0" borderId="0" xfId="0" applyAlignment="1">
      <alignment horizontal="center"/>
    </xf>
    <xf numFmtId="0" fontId="0" fillId="0" borderId="0" xfId="0" applyAlignment="1">
      <alignment horizontal="center" vertical="center"/>
    </xf>
    <xf numFmtId="15" fontId="0" fillId="0" borderId="0" xfId="0" applyNumberFormat="1" applyAlignment="1">
      <alignment horizontal="center" vertical="center"/>
    </xf>
    <xf numFmtId="8" fontId="0" fillId="0" borderId="0" xfId="0" applyNumberFormat="1"/>
    <xf numFmtId="8" fontId="0" fillId="0" borderId="0" xfId="0" applyNumberFormat="1" applyAlignment="1">
      <alignment horizontal="center" vertical="center"/>
    </xf>
    <xf numFmtId="14" fontId="0" fillId="0" borderId="0" xfId="0" applyNumberFormat="1" applyAlignment="1">
      <alignment horizontal="center"/>
    </xf>
    <xf numFmtId="2" fontId="0" fillId="0" borderId="0" xfId="0" applyNumberFormat="1" applyAlignment="1">
      <alignment horizontal="center"/>
    </xf>
    <xf numFmtId="2" fontId="0" fillId="0" borderId="0" xfId="0" applyNumberFormat="1"/>
    <xf numFmtId="9" fontId="0" fillId="0" borderId="0" xfId="1" applyFont="1"/>
    <xf numFmtId="0" fontId="0" fillId="4" borderId="0" xfId="0" applyFill="1" applyAlignment="1">
      <alignment horizontal="center"/>
    </xf>
    <xf numFmtId="0" fontId="0" fillId="5" borderId="0" xfId="0" applyFill="1" applyAlignment="1">
      <alignment horizontal="center"/>
    </xf>
    <xf numFmtId="0" fontId="0" fillId="6" borderId="0" xfId="0" applyFill="1"/>
    <xf numFmtId="0" fontId="0" fillId="0" borderId="0" xfId="0" pivotButton="1"/>
    <xf numFmtId="0" fontId="0" fillId="0" borderId="0" xfId="0" applyAlignment="1">
      <alignment horizontal="left"/>
    </xf>
    <xf numFmtId="0" fontId="0" fillId="0" borderId="0" xfId="0" applyAlignment="1">
      <alignment horizontal="left" indent="1"/>
    </xf>
    <xf numFmtId="164" fontId="0" fillId="0" borderId="0" xfId="0" applyNumberFormat="1"/>
    <xf numFmtId="1" fontId="0" fillId="0" borderId="0" xfId="0" applyNumberFormat="1"/>
    <xf numFmtId="44" fontId="0" fillId="0" borderId="0" xfId="2" applyFont="1"/>
    <xf numFmtId="165" fontId="0" fillId="0" borderId="0" xfId="2" applyNumberFormat="1" applyFont="1"/>
    <xf numFmtId="165" fontId="0" fillId="0" borderId="0" xfId="2" applyNumberFormat="1" applyFont="1" applyAlignment="1">
      <alignment horizontal="center"/>
    </xf>
    <xf numFmtId="0" fontId="0" fillId="0" borderId="1" xfId="0" applyBorder="1" applyAlignment="1">
      <alignment horizontal="left"/>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3" fillId="7" borderId="0" xfId="0" applyFont="1" applyFill="1" applyAlignment="1">
      <alignment horizontal="center" vertical="center"/>
    </xf>
    <xf numFmtId="0" fontId="3" fillId="5" borderId="0" xfId="0" applyFont="1" applyFill="1" applyAlignment="1">
      <alignment horizontal="center" vertical="center"/>
    </xf>
    <xf numFmtId="9" fontId="4" fillId="7" borderId="0" xfId="1" applyFont="1" applyFill="1" applyAlignment="1">
      <alignment horizontal="center" vertical="center"/>
    </xf>
    <xf numFmtId="9" fontId="4" fillId="5" borderId="0" xfId="1" applyFont="1" applyFill="1" applyAlignment="1">
      <alignment horizontal="center" vertical="center"/>
    </xf>
    <xf numFmtId="164" fontId="5" fillId="7" borderId="0" xfId="0" applyNumberFormat="1" applyFont="1" applyFill="1" applyAlignment="1">
      <alignment horizontal="center" vertical="center"/>
    </xf>
    <xf numFmtId="164" fontId="5" fillId="5" borderId="0" xfId="0" applyNumberFormat="1" applyFont="1" applyFill="1" applyAlignment="1">
      <alignment horizontal="center" vertical="center"/>
    </xf>
    <xf numFmtId="0" fontId="0" fillId="0" borderId="0" xfId="0" applyNumberFormat="1"/>
    <xf numFmtId="0" fontId="7" fillId="8" borderId="0" xfId="0" applyFont="1" applyFill="1" applyAlignment="1">
      <alignment horizontal="center" vertical="center"/>
    </xf>
    <xf numFmtId="0" fontId="6" fillId="0" borderId="0" xfId="0" applyFont="1" applyAlignment="1">
      <alignment horizontal="center" vertical="center"/>
    </xf>
  </cellXfs>
  <cellStyles count="3">
    <cellStyle name="Currency" xfId="2" builtinId="4"/>
    <cellStyle name="Normal" xfId="0" builtinId="0"/>
    <cellStyle name="Percent" xfId="1" builtinId="5"/>
  </cellStyles>
  <dxfs count="94">
    <dxf>
      <numFmt numFmtId="164" formatCode="&quot;$&quot;#,##0"/>
    </dxf>
    <dxf>
      <numFmt numFmtId="164" formatCode="&quot;$&quot;#,##0"/>
    </dxf>
    <dxf>
      <numFmt numFmtId="1" formatCode="0"/>
    </dxf>
    <dxf>
      <numFmt numFmtId="164" formatCode="&quot;$&quot;#,##0"/>
    </dxf>
    <dxf>
      <numFmt numFmtId="164" formatCode="&quot;$&quot;#,##0"/>
    </dxf>
    <dxf>
      <numFmt numFmtId="1" formatCode="0"/>
    </dxf>
    <dxf>
      <numFmt numFmtId="164" formatCode="&quot;$&quot;#,##0"/>
    </dxf>
    <dxf>
      <numFmt numFmtId="164" formatCode="&quot;$&quot;#,##0"/>
    </dxf>
    <dxf>
      <numFmt numFmtId="1" formatCode="0"/>
    </dxf>
    <dxf>
      <numFmt numFmtId="164" formatCode="&quot;$&quot;#,##0"/>
    </dxf>
    <dxf>
      <numFmt numFmtId="164" formatCode="&quot;$&quot;#,##0"/>
    </dxf>
    <dxf>
      <numFmt numFmtId="1" formatCode="0"/>
    </dxf>
    <dxf>
      <numFmt numFmtId="170" formatCode="0.0"/>
    </dxf>
    <dxf>
      <numFmt numFmtId="1" formatCode="0"/>
    </dxf>
    <dxf>
      <numFmt numFmtId="2" formatCode="0.00"/>
    </dxf>
    <dxf>
      <numFmt numFmtId="164" formatCode="&quot;$&quot;#,##0"/>
    </dxf>
    <dxf>
      <numFmt numFmtId="170" formatCode="0.0"/>
    </dxf>
    <dxf>
      <numFmt numFmtId="1" formatCode="0"/>
    </dxf>
    <dxf>
      <numFmt numFmtId="2" formatCode="0.0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9" formatCode="&quot;$&quot;#,##0.0"/>
    </dxf>
    <dxf>
      <numFmt numFmtId="164" formatCode="&quot;$&quot;#,##0"/>
    </dxf>
    <dxf>
      <numFmt numFmtId="164" formatCode="&quot;$&quot;#,##0"/>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color rgb="FF9C0006"/>
      </font>
      <fill>
        <patternFill>
          <bgColor rgb="FFFFC7CE"/>
        </patternFill>
      </fill>
    </dxf>
    <dxf>
      <numFmt numFmtId="0" formatCode="General"/>
      <alignment horizontal="center" vertical="bottom" textRotation="0" wrapText="0" indent="0" justifyLastLine="0" shrinkToFit="0" readingOrder="0"/>
    </dxf>
    <dxf>
      <numFmt numFmtId="165" formatCode="_(&quot;$&quot;* #,##0_);_(&quot;$&quot;* \(#,##0\);_(&quot;$&quot;* &quot;-&quot;??_);_(@_)"/>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5" formatCode="_(&quot;$&quot;* #,##0_);_(&quot;$&quot;* \(#,##0\);_(&quot;$&quot;* &quot;-&quot;??_);_(@_)"/>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numFmt numFmtId="12" formatCode="&quot;$&quot;#,##0.00_);[Red]\(&quot;$&quot;#,##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20" formatCode="d\-mmm\-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2" formatCode="&quot;$&quot;#,##0.00_);[Red]\(&quot;$&quot;#,##0.00\)"/>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2" defaultTableStyle="TableStyleMedium2" defaultPivotStyle="PivotStyleLight16">
    <tableStyle name="Timeline Style 1" pivot="0" table="0" count="8" xr9:uid="{6F008879-341D-4AC6-8E36-2F299AA5C0F1}">
      <tableStyleElement type="wholeTable" dxfId="93"/>
      <tableStyleElement type="headerRow" dxfId="92"/>
    </tableStyle>
    <tableStyle name="Timeline Style 2" pivot="0" table="0" count="8" xr9:uid="{D4DEF8D7-EFD2-4B7E-90FE-3283E89B9DDB}">
      <tableStyleElement type="wholeTable" dxfId="59"/>
      <tableStyleElement type="headerRow" dxfId="58"/>
    </tableStyle>
  </tableStyles>
  <extLst>
    <ext xmlns:x14="http://schemas.microsoft.com/office/spreadsheetml/2009/9/main" uri="{EB79DEF2-80B8-43e5-95BD-54CBDDF9020C}">
      <x14:slicerStyles defaultSlicerStyle="SlicerStyleLight1"/>
    </ext>
    <ext xmlns:x15="http://schemas.microsoft.com/office/spreadsheetml/2010/11/main" uri="{A0A4C193-F2C1-4fcb-8827-314CF55A85BB}">
      <x15:dxfs count="12">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2">
          <x15:timelineStyleElements>
            <x15:timelineStyleElement type="selectionLabel" dxfId="3"/>
            <x15:timelineStyleElement type="timeLevel" dxfId="2"/>
            <x15:timelineStyleElement type="periodLabel1" dxfId="1"/>
            <x15:timelineStyleElement type="periodLabel2" dxfId="0"/>
            <x15:timelineStyleElement type="selectedTimeBlock" dxfId="5"/>
            <x15:timelineStyleElement type="unselectedTimeBlock" dxfId="4"/>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[blank-data-file.xlsx]people vs grow!PivotTable5</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'people vs grow'!$C$3</c:f>
              <c:strCache>
                <c:ptCount val="1"/>
                <c:pt idx="0">
                  <c:v>Total</c:v>
                </c:pt>
              </c:strCache>
            </c:strRef>
          </c:tx>
          <c:spPr>
            <a:ln w="28575" cap="rnd">
              <a:solidFill>
                <a:schemeClr val="accent1"/>
              </a:solidFill>
              <a:round/>
            </a:ln>
            <a:effectLst/>
          </c:spPr>
          <c:marker>
            <c:symbol val="none"/>
          </c:marker>
          <c:cat>
            <c:multiLvlStrRef>
              <c:f>'people vs grow'!$B$4:$B$40</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'people vs grow'!$C$4:$C$40</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69</c:v>
                </c:pt>
                <c:pt idx="17">
                  <c:v>72</c:v>
                </c:pt>
                <c:pt idx="18">
                  <c:v>76</c:v>
                </c:pt>
                <c:pt idx="19">
                  <c:v>83</c:v>
                </c:pt>
                <c:pt idx="20">
                  <c:v>3</c:v>
                </c:pt>
                <c:pt idx="21">
                  <c:v>13</c:v>
                </c:pt>
                <c:pt idx="22">
                  <c:v>22</c:v>
                </c:pt>
                <c:pt idx="23">
                  <c:v>31</c:v>
                </c:pt>
                <c:pt idx="24">
                  <c:v>41</c:v>
                </c:pt>
                <c:pt idx="25">
                  <c:v>48</c:v>
                </c:pt>
                <c:pt idx="26">
                  <c:v>53</c:v>
                </c:pt>
                <c:pt idx="27">
                  <c:v>58</c:v>
                </c:pt>
                <c:pt idx="28">
                  <c:v>60</c:v>
                </c:pt>
                <c:pt idx="29">
                  <c:v>63</c:v>
                </c:pt>
                <c:pt idx="30">
                  <c:v>1</c:v>
                </c:pt>
                <c:pt idx="31">
                  <c:v>2</c:v>
                </c:pt>
              </c:numCache>
            </c:numRef>
          </c:val>
          <c:smooth val="0"/>
          <c:extLst>
            <c:ext xmlns:c16="http://schemas.microsoft.com/office/drawing/2014/chart" uri="{C3380CC4-5D6E-409C-BE32-E72D297353CC}">
              <c16:uniqueId val="{00000000-6E1F-4F10-B8AA-ADEE13F030B8}"/>
            </c:ext>
          </c:extLst>
        </c:ser>
        <c:dLbls>
          <c:showLegendKey val="0"/>
          <c:showVal val="0"/>
          <c:showCatName val="0"/>
          <c:showSerName val="0"/>
          <c:showPercent val="0"/>
          <c:showBubbleSize val="0"/>
        </c:dLbls>
        <c:smooth val="0"/>
        <c:axId val="571184096"/>
        <c:axId val="571183616"/>
      </c:lineChart>
      <c:catAx>
        <c:axId val="571184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183616"/>
        <c:crosses val="autoZero"/>
        <c:auto val="1"/>
        <c:lblAlgn val="ctr"/>
        <c:lblOffset val="100"/>
        <c:noMultiLvlLbl val="0"/>
      </c:catAx>
      <c:valAx>
        <c:axId val="571183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184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vs Rating</a:t>
            </a:r>
          </a:p>
        </c:rich>
      </c:tx>
      <c:layout>
        <c:manualLayout>
          <c:xMode val="edge"/>
          <c:yMode val="edge"/>
          <c:x val="0.35064566929133856"/>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'all staff'!$M$1</c:f>
              <c:strCache>
                <c:ptCount val="1"/>
                <c:pt idx="0">
                  <c:v>ranting  in number</c:v>
                </c:pt>
              </c:strCache>
            </c:strRef>
          </c:tx>
          <c:spPr>
            <a:ln w="19050" cap="rnd">
              <a:noFill/>
              <a:round/>
            </a:ln>
            <a:effectLst/>
          </c:spPr>
          <c:marker>
            <c:symbol val="circle"/>
            <c:size val="5"/>
            <c:spPr>
              <a:solidFill>
                <a:schemeClr val="accent1"/>
              </a:solidFill>
              <a:ln w="9525">
                <a:solidFill>
                  <a:schemeClr val="accent1"/>
                </a:solidFill>
              </a:ln>
              <a:effectLst/>
            </c:spPr>
          </c:marker>
          <c:xVal>
            <c:numRef>
              <c:f>'all staff'!$I$2:$I$186</c:f>
              <c:numCache>
                <c:formatCode>_("$"* #,##0_);_("$"* \(#,##0\);_("$"* "-"??_);_(@_)</c:formatCode>
                <c:ptCount val="185"/>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43840</c:v>
                </c:pt>
                <c:pt idx="18">
                  <c:v>45510</c:v>
                </c:pt>
                <c:pt idx="19">
                  <c:v>45510</c:v>
                </c:pt>
                <c:pt idx="20">
                  <c:v>47360</c:v>
                </c:pt>
                <c:pt idx="21">
                  <c:v>47360</c:v>
                </c:pt>
                <c:pt idx="22">
                  <c:v>48170</c:v>
                </c:pt>
                <c:pt idx="23">
                  <c:v>48170</c:v>
                </c:pt>
                <c:pt idx="24">
                  <c:v>48530</c:v>
                </c:pt>
                <c:pt idx="25">
                  <c:v>48530</c:v>
                </c:pt>
                <c:pt idx="26">
                  <c:v>48950</c:v>
                </c:pt>
                <c:pt idx="27">
                  <c:v>48950</c:v>
                </c:pt>
                <c:pt idx="28">
                  <c:v>48980</c:v>
                </c:pt>
                <c:pt idx="29">
                  <c:v>48980</c:v>
                </c:pt>
                <c:pt idx="30">
                  <c:v>49630</c:v>
                </c:pt>
                <c:pt idx="31">
                  <c:v>49630</c:v>
                </c:pt>
                <c:pt idx="32">
                  <c:v>52610</c:v>
                </c:pt>
                <c:pt idx="33">
                  <c:v>52610</c:v>
                </c:pt>
                <c:pt idx="34">
                  <c:v>53240</c:v>
                </c:pt>
                <c:pt idx="35">
                  <c:v>53240</c:v>
                </c:pt>
                <c:pt idx="36">
                  <c:v>53540</c:v>
                </c:pt>
                <c:pt idx="37">
                  <c:v>53540</c:v>
                </c:pt>
                <c:pt idx="38">
                  <c:v>53540</c:v>
                </c:pt>
                <c:pt idx="39">
                  <c:v>53540</c:v>
                </c:pt>
                <c:pt idx="40">
                  <c:v>53870</c:v>
                </c:pt>
                <c:pt idx="41">
                  <c:v>53870</c:v>
                </c:pt>
                <c:pt idx="42">
                  <c:v>54970</c:v>
                </c:pt>
                <c:pt idx="43">
                  <c:v>54970</c:v>
                </c:pt>
                <c:pt idx="44">
                  <c:v>56870</c:v>
                </c:pt>
                <c:pt idx="45">
                  <c:v>56870</c:v>
                </c:pt>
                <c:pt idx="46">
                  <c:v>57090</c:v>
                </c:pt>
                <c:pt idx="47">
                  <c:v>57090</c:v>
                </c:pt>
                <c:pt idx="48">
                  <c:v>58100</c:v>
                </c:pt>
                <c:pt idx="49">
                  <c:v>58100</c:v>
                </c:pt>
                <c:pt idx="50">
                  <c:v>58940</c:v>
                </c:pt>
                <c:pt idx="51">
                  <c:v>58940</c:v>
                </c:pt>
                <c:pt idx="52">
                  <c:v>58960</c:v>
                </c:pt>
                <c:pt idx="53">
                  <c:v>58960</c:v>
                </c:pt>
                <c:pt idx="54">
                  <c:v>59430</c:v>
                </c:pt>
                <c:pt idx="55">
                  <c:v>59430</c:v>
                </c:pt>
                <c:pt idx="56">
                  <c:v>60130</c:v>
                </c:pt>
                <c:pt idx="57">
                  <c:v>60130</c:v>
                </c:pt>
                <c:pt idx="58">
                  <c:v>60570</c:v>
                </c:pt>
                <c:pt idx="59">
                  <c:v>60570</c:v>
                </c:pt>
                <c:pt idx="60">
                  <c:v>62780</c:v>
                </c:pt>
                <c:pt idx="61">
                  <c:v>62780</c:v>
                </c:pt>
                <c:pt idx="62">
                  <c:v>64000</c:v>
                </c:pt>
                <c:pt idx="63">
                  <c:v>64000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77472.100000000006</c:v>
                </c:pt>
                <c:pt idx="103">
                  <c:v>78390</c:v>
                </c:pt>
                <c:pt idx="104">
                  <c:v>78390</c:v>
                </c:pt>
                <c:pt idx="105">
                  <c:v>78540</c:v>
                </c:pt>
                <c:pt idx="106">
                  <c:v>78540</c:v>
                </c:pt>
                <c:pt idx="107">
                  <c:v>79570</c:v>
                </c:pt>
                <c:pt idx="108">
                  <c:v>79570</c:v>
                </c:pt>
                <c:pt idx="109">
                  <c:v>80700</c:v>
                </c:pt>
                <c:pt idx="110">
                  <c:v>80700</c:v>
                </c:pt>
                <c:pt idx="111">
                  <c:v>83750</c:v>
                </c:pt>
                <c:pt idx="112">
                  <c:v>83750</c:v>
                </c:pt>
                <c:pt idx="113">
                  <c:v>85000</c:v>
                </c:pt>
                <c:pt idx="114">
                  <c:v>85000</c:v>
                </c:pt>
                <c:pt idx="115">
                  <c:v>86570</c:v>
                </c:pt>
                <c:pt idx="116">
                  <c:v>86570</c:v>
                </c:pt>
                <c:pt idx="117">
                  <c:v>87620</c:v>
                </c:pt>
                <c:pt idx="118">
                  <c:v>87620</c:v>
                </c:pt>
                <c:pt idx="119">
                  <c:v>88050</c:v>
                </c:pt>
                <c:pt idx="120">
                  <c:v>88050</c:v>
                </c:pt>
                <c:pt idx="121">
                  <c:v>90700</c:v>
                </c:pt>
                <c:pt idx="122">
                  <c:v>90700</c:v>
                </c:pt>
                <c:pt idx="123">
                  <c:v>91310</c:v>
                </c:pt>
                <c:pt idx="124">
                  <c:v>91310</c:v>
                </c:pt>
                <c:pt idx="125">
                  <c:v>91650</c:v>
                </c:pt>
                <c:pt idx="126">
                  <c:v>91650</c:v>
                </c:pt>
                <c:pt idx="127">
                  <c:v>92450</c:v>
                </c:pt>
                <c:pt idx="128">
                  <c:v>92450</c:v>
                </c:pt>
                <c:pt idx="129">
                  <c:v>92700</c:v>
                </c:pt>
                <c:pt idx="130">
                  <c:v>92700</c:v>
                </c:pt>
                <c:pt idx="131">
                  <c:v>96140</c:v>
                </c:pt>
                <c:pt idx="132">
                  <c:v>96140</c:v>
                </c:pt>
                <c:pt idx="133">
                  <c:v>96800</c:v>
                </c:pt>
                <c:pt idx="134">
                  <c:v>96800</c:v>
                </c:pt>
                <c:pt idx="135">
                  <c:v>99750</c:v>
                </c:pt>
                <c:pt idx="136">
                  <c:v>99750</c:v>
                </c:pt>
                <c:pt idx="137">
                  <c:v>99970</c:v>
                </c:pt>
                <c:pt idx="138">
                  <c:v>99970</c:v>
                </c:pt>
                <c:pt idx="139">
                  <c:v>100420</c:v>
                </c:pt>
                <c:pt idx="140">
                  <c:v>100420</c:v>
                </c:pt>
                <c:pt idx="141">
                  <c:v>103550</c:v>
                </c:pt>
                <c:pt idx="142">
                  <c:v>103550</c:v>
                </c:pt>
                <c:pt idx="143">
                  <c:v>104120</c:v>
                </c:pt>
                <c:pt idx="144">
                  <c:v>104120</c:v>
                </c:pt>
                <c:pt idx="145">
                  <c:v>104410</c:v>
                </c:pt>
                <c:pt idx="146">
                  <c:v>104410</c:v>
                </c:pt>
                <c:pt idx="147">
                  <c:v>104770</c:v>
                </c:pt>
                <c:pt idx="148">
                  <c:v>104770</c:v>
                </c:pt>
                <c:pt idx="149">
                  <c:v>106460</c:v>
                </c:pt>
                <c:pt idx="150">
                  <c:v>106460</c:v>
                </c:pt>
                <c:pt idx="151">
                  <c:v>107700</c:v>
                </c:pt>
                <c:pt idx="152">
                  <c:v>107700</c:v>
                </c:pt>
                <c:pt idx="153">
                  <c:v>109160</c:v>
                </c:pt>
                <c:pt idx="154">
                  <c:v>109160</c:v>
                </c:pt>
                <c:pt idx="155">
                  <c:v>109190</c:v>
                </c:pt>
                <c:pt idx="156">
                  <c:v>109190</c:v>
                </c:pt>
                <c:pt idx="157">
                  <c:v>112110</c:v>
                </c:pt>
                <c:pt idx="158">
                  <c:v>112110</c:v>
                </c:pt>
                <c:pt idx="159">
                  <c:v>112570</c:v>
                </c:pt>
                <c:pt idx="160">
                  <c:v>112570</c:v>
                </c:pt>
                <c:pt idx="161">
                  <c:v>112650</c:v>
                </c:pt>
                <c:pt idx="162">
                  <c:v>112650</c:v>
                </c:pt>
                <c:pt idx="163">
                  <c:v>112650</c:v>
                </c:pt>
                <c:pt idx="164">
                  <c:v>112650</c:v>
                </c:pt>
                <c:pt idx="165">
                  <c:v>112780</c:v>
                </c:pt>
                <c:pt idx="166">
                  <c:v>112780</c:v>
                </c:pt>
                <c:pt idx="167">
                  <c:v>113280</c:v>
                </c:pt>
                <c:pt idx="168">
                  <c:v>113280</c:v>
                </c:pt>
                <c:pt idx="169">
                  <c:v>114180</c:v>
                </c:pt>
                <c:pt idx="170">
                  <c:v>114180</c:v>
                </c:pt>
                <c:pt idx="171">
                  <c:v>114870</c:v>
                </c:pt>
                <c:pt idx="172">
                  <c:v>114870</c:v>
                </c:pt>
                <c:pt idx="173">
                  <c:v>114890</c:v>
                </c:pt>
                <c:pt idx="174">
                  <c:v>114890</c:v>
                </c:pt>
                <c:pt idx="175">
                  <c:v>115440</c:v>
                </c:pt>
                <c:pt idx="176">
                  <c:v>115440</c:v>
                </c:pt>
                <c:pt idx="177">
                  <c:v>115920</c:v>
                </c:pt>
                <c:pt idx="178">
                  <c:v>115920</c:v>
                </c:pt>
                <c:pt idx="179">
                  <c:v>118100</c:v>
                </c:pt>
                <c:pt idx="180">
                  <c:v>118100</c:v>
                </c:pt>
                <c:pt idx="181">
                  <c:v>118840</c:v>
                </c:pt>
                <c:pt idx="182">
                  <c:v>118840</c:v>
                </c:pt>
                <c:pt idx="183">
                  <c:v>119110</c:v>
                </c:pt>
                <c:pt idx="184">
                  <c:v>119110</c:v>
                </c:pt>
              </c:numCache>
            </c:numRef>
          </c:xVal>
          <c:yVal>
            <c:numRef>
              <c:f>'all staff'!$M$2:$M$186</c:f>
              <c:numCache>
                <c:formatCode>General</c:formatCode>
                <c:ptCount val="185"/>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4</c:v>
                </c:pt>
                <c:pt idx="18">
                  <c:v>3</c:v>
                </c:pt>
                <c:pt idx="19">
                  <c:v>3</c:v>
                </c:pt>
                <c:pt idx="20">
                  <c:v>3</c:v>
                </c:pt>
                <c:pt idx="21">
                  <c:v>3</c:v>
                </c:pt>
                <c:pt idx="22">
                  <c:v>4</c:v>
                </c:pt>
                <c:pt idx="23">
                  <c:v>4</c:v>
                </c:pt>
                <c:pt idx="24">
                  <c:v>4</c:v>
                </c:pt>
                <c:pt idx="25">
                  <c:v>4</c:v>
                </c:pt>
                <c:pt idx="26">
                  <c:v>3</c:v>
                </c:pt>
                <c:pt idx="27">
                  <c:v>3</c:v>
                </c:pt>
                <c:pt idx="28">
                  <c:v>3</c:v>
                </c:pt>
                <c:pt idx="29">
                  <c:v>3</c:v>
                </c:pt>
                <c:pt idx="30">
                  <c:v>2</c:v>
                </c:pt>
                <c:pt idx="31">
                  <c:v>2</c:v>
                </c:pt>
                <c:pt idx="32">
                  <c:v>2</c:v>
                </c:pt>
                <c:pt idx="33">
                  <c:v>2</c:v>
                </c:pt>
                <c:pt idx="34">
                  <c:v>3</c:v>
                </c:pt>
                <c:pt idx="35">
                  <c:v>3</c:v>
                </c:pt>
                <c:pt idx="36">
                  <c:v>3</c:v>
                </c:pt>
                <c:pt idx="37">
                  <c:v>3</c:v>
                </c:pt>
                <c:pt idx="38">
                  <c:v>3</c:v>
                </c:pt>
                <c:pt idx="39">
                  <c:v>3</c:v>
                </c:pt>
                <c:pt idx="40">
                  <c:v>3</c:v>
                </c:pt>
                <c:pt idx="41">
                  <c:v>3</c:v>
                </c:pt>
                <c:pt idx="42">
                  <c:v>3</c:v>
                </c:pt>
                <c:pt idx="43">
                  <c:v>3</c:v>
                </c:pt>
                <c:pt idx="44">
                  <c:v>4</c:v>
                </c:pt>
                <c:pt idx="45">
                  <c:v>4</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#N/A</c:v>
                </c:pt>
                <c:pt idx="91">
                  <c:v>#N/A</c:v>
                </c:pt>
                <c:pt idx="92">
                  <c:v>3</c:v>
                </c:pt>
                <c:pt idx="93">
                  <c:v>3</c:v>
                </c:pt>
                <c:pt idx="94">
                  <c:v>1</c:v>
                </c:pt>
                <c:pt idx="95">
                  <c:v>1</c:v>
                </c:pt>
                <c:pt idx="96">
                  <c:v>3</c:v>
                </c:pt>
                <c:pt idx="97">
                  <c:v>3</c:v>
                </c:pt>
                <c:pt idx="98">
                  <c:v>3</c:v>
                </c:pt>
                <c:pt idx="99">
                  <c:v>3</c:v>
                </c:pt>
                <c:pt idx="100">
                  <c:v>4</c:v>
                </c:pt>
                <c:pt idx="101">
                  <c:v>4</c:v>
                </c:pt>
                <c:pt idx="102">
                  <c:v>#N/A</c:v>
                </c:pt>
                <c:pt idx="103">
                  <c:v>3</c:v>
                </c:pt>
                <c:pt idx="104">
                  <c:v>3</c:v>
                </c:pt>
                <c:pt idx="105">
                  <c:v>3</c:v>
                </c:pt>
                <c:pt idx="106">
                  <c:v>3</c:v>
                </c:pt>
                <c:pt idx="107">
                  <c:v>3</c:v>
                </c:pt>
                <c:pt idx="108">
                  <c:v>3</c:v>
                </c:pt>
                <c:pt idx="109">
                  <c:v>4</c:v>
                </c:pt>
                <c:pt idx="110">
                  <c:v>4</c:v>
                </c:pt>
                <c:pt idx="111">
                  <c:v>3</c:v>
                </c:pt>
                <c:pt idx="112">
                  <c:v>3</c:v>
                </c:pt>
                <c:pt idx="113">
                  <c:v>3</c:v>
                </c:pt>
                <c:pt idx="114">
                  <c:v>3</c:v>
                </c:pt>
                <c:pt idx="115">
                  <c:v>3</c:v>
                </c:pt>
                <c:pt idx="116">
                  <c:v>3</c:v>
                </c:pt>
                <c:pt idx="117">
                  <c:v>3</c:v>
                </c:pt>
                <c:pt idx="118">
                  <c:v>3</c:v>
                </c:pt>
                <c:pt idx="119">
                  <c:v>2</c:v>
                </c:pt>
                <c:pt idx="120">
                  <c:v>2</c:v>
                </c:pt>
                <c:pt idx="121">
                  <c:v>4</c:v>
                </c:pt>
                <c:pt idx="122">
                  <c:v>4</c:v>
                </c:pt>
                <c:pt idx="123">
                  <c:v>3</c:v>
                </c:pt>
                <c:pt idx="124">
                  <c:v>3</c:v>
                </c:pt>
                <c:pt idx="125">
                  <c:v>4</c:v>
                </c:pt>
                <c:pt idx="126">
                  <c:v>4</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#N/A</c:v>
                </c:pt>
                <c:pt idx="154">
                  <c:v>#N/A</c:v>
                </c:pt>
                <c:pt idx="155">
                  <c:v>4</c:v>
                </c:pt>
                <c:pt idx="156">
                  <c:v>4</c:v>
                </c:pt>
                <c:pt idx="157">
                  <c:v>2</c:v>
                </c:pt>
                <c:pt idx="158">
                  <c:v>2</c:v>
                </c:pt>
                <c:pt idx="159">
                  <c:v>3</c:v>
                </c:pt>
                <c:pt idx="160">
                  <c:v>3</c:v>
                </c:pt>
                <c:pt idx="161">
                  <c:v>3</c:v>
                </c:pt>
                <c:pt idx="162">
                  <c:v>3</c:v>
                </c:pt>
                <c:pt idx="163">
                  <c:v>3</c:v>
                </c:pt>
                <c:pt idx="164">
                  <c:v>3</c:v>
                </c:pt>
                <c:pt idx="165">
                  <c:v>4</c:v>
                </c:pt>
                <c:pt idx="166">
                  <c:v>4</c:v>
                </c:pt>
                <c:pt idx="167">
                  <c:v>1</c:v>
                </c:pt>
                <c:pt idx="168">
                  <c:v>1</c:v>
                </c:pt>
                <c:pt idx="169">
                  <c:v>3</c:v>
                </c:pt>
                <c:pt idx="170">
                  <c:v>3</c:v>
                </c:pt>
                <c:pt idx="171">
                  <c:v>3</c:v>
                </c:pt>
                <c:pt idx="172">
                  <c:v>3</c:v>
                </c:pt>
                <c:pt idx="173">
                  <c:v>3</c:v>
                </c:pt>
                <c:pt idx="174">
                  <c:v>3</c:v>
                </c:pt>
                <c:pt idx="175">
                  <c:v>2</c:v>
                </c:pt>
                <c:pt idx="176">
                  <c:v>2</c:v>
                </c:pt>
                <c:pt idx="177">
                  <c:v>3</c:v>
                </c:pt>
                <c:pt idx="178">
                  <c:v>3</c:v>
                </c:pt>
                <c:pt idx="179">
                  <c:v>3</c:v>
                </c:pt>
                <c:pt idx="180">
                  <c:v>3</c:v>
                </c:pt>
                <c:pt idx="181">
                  <c:v>3</c:v>
                </c:pt>
                <c:pt idx="182">
                  <c:v>3</c:v>
                </c:pt>
                <c:pt idx="183">
                  <c:v>3</c:v>
                </c:pt>
                <c:pt idx="184">
                  <c:v>3</c:v>
                </c:pt>
              </c:numCache>
            </c:numRef>
          </c:yVal>
          <c:smooth val="0"/>
          <c:extLst>
            <c:ext xmlns:c16="http://schemas.microsoft.com/office/drawing/2014/chart" uri="{C3380CC4-5D6E-409C-BE32-E72D297353CC}">
              <c16:uniqueId val="{00000000-73DA-41B7-B77E-ED717E5229D6}"/>
            </c:ext>
          </c:extLst>
        </c:ser>
        <c:dLbls>
          <c:showLegendKey val="0"/>
          <c:showVal val="0"/>
          <c:showCatName val="0"/>
          <c:showSerName val="0"/>
          <c:showPercent val="0"/>
          <c:showBubbleSize val="0"/>
        </c:dLbls>
        <c:axId val="538819200"/>
        <c:axId val="533811360"/>
      </c:scatterChart>
      <c:valAx>
        <c:axId val="538819200"/>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811360"/>
        <c:crosses val="autoZero"/>
        <c:crossBetween val="midCat"/>
      </c:valAx>
      <c:valAx>
        <c:axId val="533811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8192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[blank-data-file.xlsx]pivot2!PivotTable1</c:name>
    <c:fmtId val="7"/>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pivot2!$C$3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pivot2!$B$4:$B$10</c:f>
              <c:multiLvlStrCache>
                <c:ptCount val="5"/>
                <c:lvl>
                  <c:pt idx="0">
                    <c:v>Website</c:v>
                  </c:pt>
                  <c:pt idx="1">
                    <c:v>Procurement</c:v>
                  </c:pt>
                  <c:pt idx="2">
                    <c:v>Finance</c:v>
                  </c:pt>
                  <c:pt idx="3">
                    <c:v>Sales</c:v>
                  </c:pt>
                  <c:pt idx="4">
                    <c:v>HR</c:v>
                  </c:pt>
                </c:lvl>
                <c:lvl>
                  <c:pt idx="0">
                    <c:v>Female</c:v>
                  </c:pt>
                </c:lvl>
              </c:multiLvlStrCache>
            </c:multiLvlStrRef>
          </c:cat>
          <c:val>
            <c:numRef>
              <c:f>pivot2!$C$4:$C$10</c:f>
              <c:numCache>
                <c:formatCode>General</c:formatCode>
                <c:ptCount val="5"/>
                <c:pt idx="0">
                  <c:v>14</c:v>
                </c:pt>
                <c:pt idx="1">
                  <c:v>10</c:v>
                </c:pt>
                <c:pt idx="2">
                  <c:v>9</c:v>
                </c:pt>
                <c:pt idx="3">
                  <c:v>7</c:v>
                </c:pt>
                <c:pt idx="4">
                  <c:v>3</c:v>
                </c:pt>
              </c:numCache>
            </c:numRef>
          </c:val>
          <c:extLst>
            <c:ext xmlns:c16="http://schemas.microsoft.com/office/drawing/2014/chart" uri="{C3380CC4-5D6E-409C-BE32-E72D297353CC}">
              <c16:uniqueId val="{00000000-5171-427D-81C4-E6073D100796}"/>
            </c:ext>
          </c:extLst>
        </c:ser>
        <c:dLbls>
          <c:showLegendKey val="0"/>
          <c:showVal val="0"/>
          <c:showCatName val="0"/>
          <c:showSerName val="0"/>
          <c:showPercent val="0"/>
          <c:showBubbleSize val="0"/>
        </c:dLbls>
        <c:gapWidth val="115"/>
        <c:overlap val="-20"/>
        <c:axId val="1028259184"/>
        <c:axId val="1028256784"/>
      </c:barChart>
      <c:catAx>
        <c:axId val="1028259184"/>
        <c:scaling>
          <c:orientation val="maxMin"/>
        </c:scaling>
        <c:delete val="0"/>
        <c:axPos val="l"/>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8256784"/>
        <c:crosses val="autoZero"/>
        <c:auto val="1"/>
        <c:lblAlgn val="ctr"/>
        <c:lblOffset val="100"/>
        <c:noMultiLvlLbl val="0"/>
      </c:catAx>
      <c:valAx>
        <c:axId val="102825678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8259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[blank-data-file.xlsx]pivot2!PivotTable2</c:name>
    <c:fmtId val="6"/>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pivot2!$F$3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pivot2!$E$4:$E$10</c:f>
              <c:multiLvlStrCache>
                <c:ptCount val="5"/>
                <c:lvl>
                  <c:pt idx="0">
                    <c:v>Website</c:v>
                  </c:pt>
                  <c:pt idx="1">
                    <c:v>Procurement</c:v>
                  </c:pt>
                  <c:pt idx="2">
                    <c:v>Finance</c:v>
                  </c:pt>
                  <c:pt idx="3">
                    <c:v>Sales</c:v>
                  </c:pt>
                  <c:pt idx="4">
                    <c:v>HR</c:v>
                  </c:pt>
                </c:lvl>
                <c:lvl>
                  <c:pt idx="0">
                    <c:v>Female</c:v>
                  </c:pt>
                </c:lvl>
              </c:multiLvlStrCache>
            </c:multiLvlStrRef>
          </c:cat>
          <c:val>
            <c:numRef>
              <c:f>pivot2!$F$4:$F$10</c:f>
              <c:numCache>
                <c:formatCode>General</c:formatCode>
                <c:ptCount val="5"/>
                <c:pt idx="0">
                  <c:v>14</c:v>
                </c:pt>
                <c:pt idx="1">
                  <c:v>10</c:v>
                </c:pt>
                <c:pt idx="2">
                  <c:v>9</c:v>
                </c:pt>
                <c:pt idx="3">
                  <c:v>7</c:v>
                </c:pt>
                <c:pt idx="4">
                  <c:v>3</c:v>
                </c:pt>
              </c:numCache>
            </c:numRef>
          </c:val>
          <c:extLst>
            <c:ext xmlns:c16="http://schemas.microsoft.com/office/drawing/2014/chart" uri="{C3380CC4-5D6E-409C-BE32-E72D297353CC}">
              <c16:uniqueId val="{00000000-838C-44C7-BB04-874CA4D62600}"/>
            </c:ext>
          </c:extLst>
        </c:ser>
        <c:dLbls>
          <c:showLegendKey val="0"/>
          <c:showVal val="0"/>
          <c:showCatName val="0"/>
          <c:showSerName val="0"/>
          <c:showPercent val="0"/>
          <c:showBubbleSize val="0"/>
        </c:dLbls>
        <c:gapWidth val="115"/>
        <c:overlap val="-20"/>
        <c:axId val="1210630272"/>
        <c:axId val="1210633632"/>
      </c:barChart>
      <c:catAx>
        <c:axId val="1210630272"/>
        <c:scaling>
          <c:orientation val="maxMin"/>
        </c:scaling>
        <c:delete val="0"/>
        <c:axPos val="l"/>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0633632"/>
        <c:crosses val="autoZero"/>
        <c:auto val="1"/>
        <c:lblAlgn val="ctr"/>
        <c:lblOffset val="100"/>
        <c:noMultiLvlLbl val="0"/>
      </c:catAx>
      <c:valAx>
        <c:axId val="1210633632"/>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0630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by $10k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by $10k </a:t>
          </a:r>
        </a:p>
      </cx:txPr>
    </cx:title>
    <cx:plotArea>
      <cx:plotAreaRegion>
        <cx:series layoutId="clusteredColumn" uniqueId="{5E1EBDA6-67EC-43EF-8C3E-7BBB79651028}">
          <cx:tx>
            <cx:txData>
              <cx:f>_xlchart.v1.0</cx:f>
              <cx:v> Salary </cx:v>
            </cx:txData>
          </cx:tx>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salary spread-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box plot</a:t>
          </a:r>
        </a:p>
      </cx:txPr>
    </cx:title>
    <cx:plotArea>
      <cx:plotAreaRegion>
        <cx:series layoutId="boxWhisker" uniqueId="{56B6F2F7-D27C-485B-B04E-B39500F06093}">
          <cx:tx>
            <cx:txData>
              <cx:f>_xlchart.v1.2</cx:f>
              <cx:v> Salary </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hyperlink" Target="https://youtu.be/H6k28jhclwI" TargetMode="External"/><Relationship Id="rId2" Type="http://schemas.openxmlformats.org/officeDocument/2006/relationships/image" Target="../media/image1.png"/><Relationship Id="rId1" Type="http://schemas.openxmlformats.org/officeDocument/2006/relationships/hyperlink" Target="https://chandoo.org/wp/" TargetMode="External"/><Relationship Id="rId6" Type="http://schemas.openxmlformats.org/officeDocument/2006/relationships/image" Target="../media/image3.png"/><Relationship Id="rId5" Type="http://schemas.openxmlformats.org/officeDocument/2006/relationships/hyperlink" Target="https://chandoo.org/wp/excel-school-program/" TargetMode="Externa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0</xdr:row>
      <xdr:rowOff>149958</xdr:rowOff>
    </xdr:from>
    <xdr:to>
      <xdr:col>16</xdr:col>
      <xdr:colOff>47625</xdr:colOff>
      <xdr:row>2</xdr:row>
      <xdr:rowOff>0</xdr:rowOff>
    </xdr:to>
    <xdr:pic>
      <xdr:nvPicPr>
        <xdr:cNvPr id="4" name="Picture 3">
          <a:hlinkClick xmlns:r="http://schemas.openxmlformats.org/officeDocument/2006/relationships" r:id="rId1"/>
          <a:extLst>
            <a:ext uri="{FF2B5EF4-FFF2-40B4-BE49-F238E27FC236}">
              <a16:creationId xmlns:a16="http://schemas.microsoft.com/office/drawing/2014/main" id="{F92F0C86-81F4-8FF2-79D4-1A937B0920E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67550" y="149958"/>
          <a:ext cx="2486025" cy="707292"/>
        </a:xfrm>
        <a:prstGeom prst="rect">
          <a:avLst/>
        </a:prstGeom>
      </xdr:spPr>
    </xdr:pic>
    <xdr:clientData/>
  </xdr:twoCellAnchor>
  <xdr:twoCellAnchor editAs="oneCell">
    <xdr:from>
      <xdr:col>12</xdr:col>
      <xdr:colOff>0</xdr:colOff>
      <xdr:row>4</xdr:row>
      <xdr:rowOff>0</xdr:rowOff>
    </xdr:from>
    <xdr:to>
      <xdr:col>16</xdr:col>
      <xdr:colOff>6350</xdr:colOff>
      <xdr:row>11</xdr:row>
      <xdr:rowOff>41055</xdr:rowOff>
    </xdr:to>
    <xdr:pic>
      <xdr:nvPicPr>
        <xdr:cNvPr id="2" name="Picture 1">
          <a:hlinkClick xmlns:r="http://schemas.openxmlformats.org/officeDocument/2006/relationships" r:id="rId3"/>
          <a:extLst>
            <a:ext uri="{FF2B5EF4-FFF2-40B4-BE49-F238E27FC236}">
              <a16:creationId xmlns:a16="http://schemas.microsoft.com/office/drawing/2014/main" id="{57E6FE93-84F3-45D7-B277-295969E51D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524625" y="1238250"/>
          <a:ext cx="2444750" cy="1374555"/>
        </a:xfrm>
        <a:prstGeom prst="rect">
          <a:avLst/>
        </a:prstGeom>
        <a:ln>
          <a:solidFill>
            <a:schemeClr val="tx1"/>
          </a:solidFill>
        </a:ln>
      </xdr:spPr>
    </xdr:pic>
    <xdr:clientData/>
  </xdr:twoCellAnchor>
  <xdr:twoCellAnchor>
    <xdr:from>
      <xdr:col>12</xdr:col>
      <xdr:colOff>548508</xdr:colOff>
      <xdr:row>10</xdr:row>
      <xdr:rowOff>124811</xdr:rowOff>
    </xdr:from>
    <xdr:to>
      <xdr:col>15</xdr:col>
      <xdr:colOff>67167</xdr:colOff>
      <xdr:row>12</xdr:row>
      <xdr:rowOff>19707</xdr:rowOff>
    </xdr:to>
    <xdr:sp macro="" textlink="">
      <xdr:nvSpPr>
        <xdr:cNvPr id="3" name="Rectangle: Rounded Corners 2">
          <a:hlinkClick xmlns:r="http://schemas.openxmlformats.org/officeDocument/2006/relationships" r:id="rId3"/>
          <a:extLst>
            <a:ext uri="{FF2B5EF4-FFF2-40B4-BE49-F238E27FC236}">
              <a16:creationId xmlns:a16="http://schemas.microsoft.com/office/drawing/2014/main" id="{FB0C10A5-873E-49A5-819F-85042883FE66}"/>
            </a:ext>
          </a:extLst>
        </xdr:cNvPr>
        <xdr:cNvSpPr/>
      </xdr:nvSpPr>
      <xdr:spPr>
        <a:xfrm>
          <a:off x="7073133" y="2506061"/>
          <a:ext cx="1347459" cy="275896"/>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latin typeface="Roboto" panose="02000000000000000000" pitchFamily="2" charset="0"/>
              <a:ea typeface="Roboto" panose="02000000000000000000" pitchFamily="2" charset="0"/>
            </a:rPr>
            <a:t>Watch the video</a:t>
          </a:r>
        </a:p>
      </xdr:txBody>
    </xdr:sp>
    <xdr:clientData/>
  </xdr:twoCellAnchor>
  <xdr:twoCellAnchor editAs="oneCell">
    <xdr:from>
      <xdr:col>12</xdr:col>
      <xdr:colOff>0</xdr:colOff>
      <xdr:row>13</xdr:row>
      <xdr:rowOff>0</xdr:rowOff>
    </xdr:from>
    <xdr:to>
      <xdr:col>16</xdr:col>
      <xdr:colOff>19488</xdr:colOff>
      <xdr:row>25</xdr:row>
      <xdr:rowOff>170793</xdr:rowOff>
    </xdr:to>
    <xdr:pic>
      <xdr:nvPicPr>
        <xdr:cNvPr id="5" name="Picture 4">
          <a:hlinkClick xmlns:r="http://schemas.openxmlformats.org/officeDocument/2006/relationships" r:id="rId5"/>
          <a:extLst>
            <a:ext uri="{FF2B5EF4-FFF2-40B4-BE49-F238E27FC236}">
              <a16:creationId xmlns:a16="http://schemas.microsoft.com/office/drawing/2014/main" id="{B36909BE-7360-4913-9D8E-2CCF602982C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524625" y="2952750"/>
          <a:ext cx="2457888" cy="2456793"/>
        </a:xfrm>
        <a:prstGeom prst="rect">
          <a:avLst/>
        </a:prstGeom>
        <a:ln>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371475</xdr:colOff>
      <xdr:row>2</xdr:row>
      <xdr:rowOff>1</xdr:rowOff>
    </xdr:from>
    <xdr:to>
      <xdr:col>5</xdr:col>
      <xdr:colOff>47625</xdr:colOff>
      <xdr:row>7</xdr:row>
      <xdr:rowOff>19051</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EBAC1B84-6D81-03F0-1200-7AEBA86EA0F8}"/>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3552825" y="381001"/>
              <a:ext cx="1828800" cy="971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147636</xdr:colOff>
      <xdr:row>0</xdr:row>
      <xdr:rowOff>185737</xdr:rowOff>
    </xdr:from>
    <xdr:to>
      <xdr:col>7</xdr:col>
      <xdr:colOff>447675</xdr:colOff>
      <xdr:row>16</xdr:row>
      <xdr:rowOff>161925</xdr:rowOff>
    </xdr:to>
    <xdr:graphicFrame macro="">
      <xdr:nvGraphicFramePr>
        <xdr:cNvPr id="2" name="Chart 1">
          <a:extLst>
            <a:ext uri="{FF2B5EF4-FFF2-40B4-BE49-F238E27FC236}">
              <a16:creationId xmlns:a16="http://schemas.microsoft.com/office/drawing/2014/main" id="{1D47FB03-01A1-4919-8076-E9FA942A95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19050</xdr:colOff>
      <xdr:row>1</xdr:row>
      <xdr:rowOff>0</xdr:rowOff>
    </xdr:from>
    <xdr:to>
      <xdr:col>11</xdr:col>
      <xdr:colOff>95251</xdr:colOff>
      <xdr:row>20</xdr:row>
      <xdr:rowOff>80964</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4283773-937C-4000-B0CE-47DDE3D906C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28650" y="190500"/>
              <a:ext cx="6172201" cy="370046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600075</xdr:colOff>
      <xdr:row>1</xdr:row>
      <xdr:rowOff>9524</xdr:rowOff>
    </xdr:from>
    <xdr:to>
      <xdr:col>19</xdr:col>
      <xdr:colOff>295275</xdr:colOff>
      <xdr:row>23</xdr:row>
      <xdr:rowOff>76199</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D058F6D-7FD2-4274-BC61-927C85DABBD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305675" y="200024"/>
              <a:ext cx="4572000" cy="42576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600074</xdr:colOff>
      <xdr:row>0</xdr:row>
      <xdr:rowOff>190499</xdr:rowOff>
    </xdr:from>
    <xdr:to>
      <xdr:col>15</xdr:col>
      <xdr:colOff>600075</xdr:colOff>
      <xdr:row>18</xdr:row>
      <xdr:rowOff>19050</xdr:rowOff>
    </xdr:to>
    <xdr:graphicFrame macro="">
      <xdr:nvGraphicFramePr>
        <xdr:cNvPr id="2" name="Chart 1">
          <a:extLst>
            <a:ext uri="{FF2B5EF4-FFF2-40B4-BE49-F238E27FC236}">
              <a16:creationId xmlns:a16="http://schemas.microsoft.com/office/drawing/2014/main" id="{3D1BA436-4E51-4412-A173-3348EE7A2E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5</xdr:row>
      <xdr:rowOff>0</xdr:rowOff>
    </xdr:from>
    <xdr:to>
      <xdr:col>4</xdr:col>
      <xdr:colOff>0</xdr:colOff>
      <xdr:row>17</xdr:row>
      <xdr:rowOff>180975</xdr:rowOff>
    </xdr:to>
    <xdr:graphicFrame macro="">
      <xdr:nvGraphicFramePr>
        <xdr:cNvPr id="2" name="Chart 1">
          <a:extLst>
            <a:ext uri="{FF2B5EF4-FFF2-40B4-BE49-F238E27FC236}">
              <a16:creationId xmlns:a16="http://schemas.microsoft.com/office/drawing/2014/main" id="{E9055F0D-CF0F-4B95-9C17-64AC310D78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590551</xdr:colOff>
      <xdr:row>4</xdr:row>
      <xdr:rowOff>180976</xdr:rowOff>
    </xdr:from>
    <xdr:to>
      <xdr:col>9</xdr:col>
      <xdr:colOff>1</xdr:colOff>
      <xdr:row>17</xdr:row>
      <xdr:rowOff>180976</xdr:rowOff>
    </xdr:to>
    <xdr:graphicFrame macro="">
      <xdr:nvGraphicFramePr>
        <xdr:cNvPr id="3" name="Chart 2">
          <a:extLst>
            <a:ext uri="{FF2B5EF4-FFF2-40B4-BE49-F238E27FC236}">
              <a16:creationId xmlns:a16="http://schemas.microsoft.com/office/drawing/2014/main" id="{F3BD897B-ABCF-460F-9FC6-4072CA4B1A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 refreshedDate="45572.782524421295" backgroundQuery="1" createdVersion="8" refreshedVersion="8" minRefreshableVersion="3" recordCount="0" supportSubquery="1" supportAdvancedDrill="1" xr:uid="{1761B8B1-4CF2-48A7-A60C-D1856A1424E2}">
  <cacheSource type="external" connectionId="4"/>
  <cacheFields count="6">
    <cacheField name="[staff].[Gender].[Gender]" caption="Gender" numFmtId="0" hierarchy="1" level="1">
      <sharedItems count="2">
        <s v="Female"/>
        <s v="Male"/>
      </sharedItems>
    </cacheField>
    <cacheField name="[Measures].[Average of Salary]" caption="Average of Salary" numFmtId="0" hierarchy="22" level="32767"/>
    <cacheField name="[Measures].[Average of Age]" caption="Average of Age" numFmtId="0" hierarchy="20" level="32767"/>
    <cacheField name="[Measures].[Sum of tenure in year]" caption="Sum of tenure in year" numFmtId="0" hierarchy="23" level="32767"/>
    <cacheField name="[Measures].[Average of tenure in year]" caption="Average of tenure in year" numFmtId="0" hierarchy="26" level="32767"/>
    <cacheField name="[staff].[country].[country]" caption="country" numFmtId="0" hierarchy="10" level="1">
      <sharedItems containsSemiMixedTypes="0" containsNonDate="0" containsString="0"/>
    </cacheField>
  </cacheFields>
  <cacheHierarchies count="30">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Joined]" caption="Date Joined" attribute="1" time="1" defaultMemberUniqueName="[staff].[Date Joined].[All]" allUniqueName="[staff].[Date Joined].[All]" dimensionUniqueName="[staff]" displayFolder="" count="0" memberValueDatatype="7" unbalanced="0"/>
    <cacheHierarchy uniqueName="[staff].[current date]" caption="current date" attribute="1" time="1" defaultMemberUniqueName="[staff].[current date].[All]" allUniqueName="[staff].[current date].[All]" dimensionUniqueName="[staff]" displayFolder="" count="0" memberValueDatatype="7" unbalanced="0"/>
    <cacheHierarchy uniqueName="[staff].[tenure]" caption="tenure" attribute="1" defaultMemberUniqueName="[staff].[tenure].[All]" allUniqueName="[staff].[tenure].[All]" dimensionUniqueName="[staff]" displayFolder="" count="0" memberValueDatatype="20" unbalanced="0"/>
    <cacheHierarchy uniqueName="[staff].[tenure in year]" caption="tenure in year" attribute="1" defaultMemberUniqueName="[staff].[tenure in year].[All]" allUniqueName="[staff].[tenure in year].[All]" dimensionUniqueName="[staff]" displayFolder="" count="0" memberValueDatatype="5" unbalanced="0"/>
    <cacheHierarchy uniqueName="[staff].[Salary]" caption="Salary" attribute="1" defaultMemberUniqueName="[staff].[Salary].[All]" allUniqueName="[staff].[Salary].[All]" dimensionUniqueName="[staff]" displayFolder="" count="0" memberValueDatatype="5"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Gender]" caption="Count of Gender" measure="1" displayFolder="" measureGroup="staff" count="0" hidden="1">
      <extLst>
        <ext xmlns:x15="http://schemas.microsoft.com/office/spreadsheetml/2010/11/main" uri="{B97F6D7D-B522-45F9-BDA1-12C45D357490}">
          <x15:cacheHierarchy aggregatedColumn="1"/>
        </ext>
      </extLst>
    </cacheHierarchy>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8"/>
        </ext>
      </extLst>
    </cacheHierarchy>
    <cacheHierarchy uniqueName="[Measures].[Average of Salary]" caption="Average of Salary" measure="1" displayFolder="" measureGroup="staff" count="0" oneField="1" hidden="1">
      <fieldsUsage count="1">
        <fieldUsage x="1"/>
      </fieldsUsage>
      <extLst>
        <ext xmlns:x15="http://schemas.microsoft.com/office/spreadsheetml/2010/11/main" uri="{B97F6D7D-B522-45F9-BDA1-12C45D357490}">
          <x15:cacheHierarchy aggregatedColumn="8"/>
        </ext>
      </extLst>
    </cacheHierarchy>
    <cacheHierarchy uniqueName="[Measures].[Sum of tenure in year]" caption="Sum of tenure in year" measure="1" displayFolder="" measureGroup="staff" count="0" oneField="1" hidden="1">
      <fieldsUsage count="1">
        <fieldUsage x="3"/>
      </fieldsUsage>
      <extLst>
        <ext xmlns:x15="http://schemas.microsoft.com/office/spreadsheetml/2010/11/main" uri="{B97F6D7D-B522-45F9-BDA1-12C45D357490}">
          <x15:cacheHierarchy aggregatedColumn="7"/>
        </ext>
      </extLst>
    </cacheHierarchy>
    <cacheHierarchy uniqueName="[Measures].[Count of Salary]" caption="Count of Salary" measure="1" displayFolder="" measureGroup="staff" count="0" hidden="1">
      <extLst>
        <ext xmlns:x15="http://schemas.microsoft.com/office/spreadsheetml/2010/11/main" uri="{B97F6D7D-B522-45F9-BDA1-12C45D357490}">
          <x15:cacheHierarchy aggregatedColumn="8"/>
        </ext>
      </extLst>
    </cacheHierarchy>
    <cacheHierarchy uniqueName="[Measures].[Count of tenure in year]" caption="Count of tenure in year" measure="1" displayFolder="" measureGroup="staff" count="0" hidden="1">
      <extLst>
        <ext xmlns:x15="http://schemas.microsoft.com/office/spreadsheetml/2010/11/main" uri="{B97F6D7D-B522-45F9-BDA1-12C45D357490}">
          <x15:cacheHierarchy aggregatedColumn="7"/>
        </ext>
      </extLst>
    </cacheHierarchy>
    <cacheHierarchy uniqueName="[Measures].[Average of tenure in year]" caption="Average of tenure in year" measure="1" displayFolder="" measureGroup="staff" count="0" oneField="1" hidden="1">
      <fieldsUsage count="1">
        <fieldUsage x="4"/>
      </fieldsUsage>
      <extLst>
        <ext xmlns:x15="http://schemas.microsoft.com/office/spreadsheetml/2010/11/main" uri="{B97F6D7D-B522-45F9-BDA1-12C45D357490}">
          <x15:cacheHierarchy aggregatedColumn="7"/>
        </ext>
      </extLst>
    </cacheHierarchy>
    <cacheHierarchy uniqueName="[Measures].[Max of tenure in year]" caption="Max of tenure in year" measure="1" displayFolder="" measureGroup="staff" count="0" hidden="1">
      <extLst>
        <ext xmlns:x15="http://schemas.microsoft.com/office/spreadsheetml/2010/11/main" uri="{B97F6D7D-B522-45F9-BDA1-12C45D357490}">
          <x15:cacheHierarchy aggregatedColumn="7"/>
        </ext>
      </extLst>
    </cacheHierarchy>
    <cacheHierarchy uniqueName="[Measures].[Count of Date Joined]" caption="Count of Date Joined" measure="1" displayFolder="" measureGroup="staff" count="0" hidden="1">
      <extLst>
        <ext xmlns:x15="http://schemas.microsoft.com/office/spreadsheetml/2010/11/main" uri="{B97F6D7D-B522-45F9-BDA1-12C45D357490}">
          <x15:cacheHierarchy aggregatedColumn="4"/>
        </ext>
      </extLst>
    </cacheHierarchy>
    <cacheHierarchy uniqueName="[Measures].[Count of country]" caption="Count of country" measure="1" displayFolder="" measureGroup="staff" count="0" hidden="1">
      <extLst>
        <ext xmlns:x15="http://schemas.microsoft.com/office/spreadsheetml/2010/11/main" uri="{B97F6D7D-B522-45F9-BDA1-12C45D357490}">
          <x15:cacheHierarchy aggregatedColumn="10"/>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 refreshedDate="45572.792925000002" backgroundQuery="1" createdVersion="8" refreshedVersion="8" minRefreshableVersion="3" recordCount="0" supportSubquery="1" supportAdvancedDrill="1" xr:uid="{93E9C5D3-B617-4411-A104-7B82C32C30BA}">
  <cacheSource type="external" connectionId="4"/>
  <cacheFields count="4">
    <cacheField name="[staff].[Date Joined (Month)].[Date Joined (Month)]" caption="Date Joined (Month)" numFmtId="0" hierarchy="13" level="1">
      <sharedItems count="12">
        <s v="May"/>
        <s v="Jun"/>
        <s v="Jul"/>
        <s v="Aug"/>
        <s v="Sep"/>
        <s v="Oct"/>
        <s v="Nov"/>
        <s v="Dec"/>
        <s v="Jan"/>
        <s v="Feb"/>
        <s v="Mar"/>
        <s v="Apr"/>
      </sharedItems>
    </cacheField>
    <cacheField name="[staff].[Date Joined (Quarter)].[Date Joined (Quarter)]" caption="Date Joined (Quarter)" numFmtId="0" hierarchy="12" level="1">
      <sharedItems containsSemiMixedTypes="0" containsNonDate="0" containsString="0"/>
    </cacheField>
    <cacheField name="[staff].[Date Joined (Year)].[Date Joined (Year)]" caption="Date Joined (Year)" numFmtId="0" hierarchy="11" level="1">
      <sharedItems count="4">
        <s v="2020"/>
        <s v="2021"/>
        <s v="2022"/>
        <s v="2023"/>
      </sharedItems>
    </cacheField>
    <cacheField name="[Measures].[Count of Name]" caption="Count of Name" numFmtId="0" hierarchy="18" level="32767"/>
  </cacheFields>
  <cacheHierarchies count="30">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Joined]" caption="Date Joined" attribute="1" time="1" defaultMemberUniqueName="[staff].[Date Joined].[All]" allUniqueName="[staff].[Date Joined].[All]" dimensionUniqueName="[staff]" displayFolder="" count="0" memberValueDatatype="7" unbalanced="0"/>
    <cacheHierarchy uniqueName="[staff].[current date]" caption="current date" attribute="1" time="1" defaultMemberUniqueName="[staff].[current date].[All]" allUniqueName="[staff].[current date].[All]" dimensionUniqueName="[staff]" displayFolder="" count="0" memberValueDatatype="7" unbalanced="0"/>
    <cacheHierarchy uniqueName="[staff].[tenure]" caption="tenure" attribute="1" defaultMemberUniqueName="[staff].[tenure].[All]" allUniqueName="[staff].[tenure].[All]" dimensionUniqueName="[staff]" displayFolder="" count="0" memberValueDatatype="20" unbalanced="0"/>
    <cacheHierarchy uniqueName="[staff].[tenure in year]" caption="tenure in year" attribute="1" defaultMemberUniqueName="[staff].[tenure in year].[All]" allUniqueName="[staff].[tenure in year].[All]" dimensionUniqueName="[staff]" displayFolder="" count="0" memberValueDatatype="5" unbalanced="0"/>
    <cacheHierarchy uniqueName="[staff].[Salary]" caption="Salary" attribute="1" defaultMemberUniqueName="[staff].[Salary].[All]" allUniqueName="[staff].[Salary].[All]" dimensionUniqueName="[staff]" displayFolder="" count="0" memberValueDatatype="5"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0" memberValueDatatype="130"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2"/>
      </fieldsUsage>
    </cacheHierarchy>
    <cacheHierarchy uniqueName="[staff].[Date Joined (Quarter)]" caption="Date Joined (Quarter)" attribute="1" defaultMemberUniqueName="[staff].[Date Joined (Quarter)].[All]" allUniqueName="[staff].[Date Joined (Quarter)].[All]" dimensionUniqueName="[staff]" displayFolder="" count="2" memberValueDatatype="130" unbalanced="0">
      <fieldsUsage count="2">
        <fieldUsage x="-1"/>
        <fieldUsage x="1"/>
      </fieldsUsage>
    </cacheHierarchy>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Gender]" caption="Count of Gender" measure="1" displayFolder="" measureGroup="staff" count="0" hidden="1">
      <extLst>
        <ext xmlns:x15="http://schemas.microsoft.com/office/spreadsheetml/2010/11/main" uri="{B97F6D7D-B522-45F9-BDA1-12C45D357490}">
          <x15:cacheHierarchy aggregatedColumn="1"/>
        </ext>
      </extLst>
    </cacheHierarchy>
    <cacheHierarchy uniqueName="[Measures].[Count of Name]" caption="Count of Name" measure="1" displayFolder="" measureGroup="staff" count="0" oneField="1" hidden="1">
      <fieldsUsage count="1">
        <fieldUsage x="3"/>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8"/>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8"/>
        </ext>
      </extLst>
    </cacheHierarchy>
    <cacheHierarchy uniqueName="[Measures].[Sum of tenure in year]" caption="Sum of tenure in year" measure="1" displayFolder="" measureGroup="staff" count="0" hidden="1">
      <extLst>
        <ext xmlns:x15="http://schemas.microsoft.com/office/spreadsheetml/2010/11/main" uri="{B97F6D7D-B522-45F9-BDA1-12C45D357490}">
          <x15:cacheHierarchy aggregatedColumn="7"/>
        </ext>
      </extLst>
    </cacheHierarchy>
    <cacheHierarchy uniqueName="[Measures].[Count of Salary]" caption="Count of Salary" measure="1" displayFolder="" measureGroup="staff" count="0" hidden="1">
      <extLst>
        <ext xmlns:x15="http://schemas.microsoft.com/office/spreadsheetml/2010/11/main" uri="{B97F6D7D-B522-45F9-BDA1-12C45D357490}">
          <x15:cacheHierarchy aggregatedColumn="8"/>
        </ext>
      </extLst>
    </cacheHierarchy>
    <cacheHierarchy uniqueName="[Measures].[Count of tenure in year]" caption="Count of tenure in year" measure="1" displayFolder="" measureGroup="staff" count="0" hidden="1">
      <extLst>
        <ext xmlns:x15="http://schemas.microsoft.com/office/spreadsheetml/2010/11/main" uri="{B97F6D7D-B522-45F9-BDA1-12C45D357490}">
          <x15:cacheHierarchy aggregatedColumn="7"/>
        </ext>
      </extLst>
    </cacheHierarchy>
    <cacheHierarchy uniqueName="[Measures].[Average of tenure in year]" caption="Average of tenure in year" measure="1" displayFolder="" measureGroup="staff" count="0" hidden="1">
      <extLst>
        <ext xmlns:x15="http://schemas.microsoft.com/office/spreadsheetml/2010/11/main" uri="{B97F6D7D-B522-45F9-BDA1-12C45D357490}">
          <x15:cacheHierarchy aggregatedColumn="7"/>
        </ext>
      </extLst>
    </cacheHierarchy>
    <cacheHierarchy uniqueName="[Measures].[Max of tenure in year]" caption="Max of tenure in year" measure="1" displayFolder="" measureGroup="staff" count="0" hidden="1">
      <extLst>
        <ext xmlns:x15="http://schemas.microsoft.com/office/spreadsheetml/2010/11/main" uri="{B97F6D7D-B522-45F9-BDA1-12C45D357490}">
          <x15:cacheHierarchy aggregatedColumn="7"/>
        </ext>
      </extLst>
    </cacheHierarchy>
    <cacheHierarchy uniqueName="[Measures].[Count of Date Joined]" caption="Count of Date Joined" measure="1" displayFolder="" measureGroup="staff" count="0" hidden="1">
      <extLst>
        <ext xmlns:x15="http://schemas.microsoft.com/office/spreadsheetml/2010/11/main" uri="{B97F6D7D-B522-45F9-BDA1-12C45D357490}">
          <x15:cacheHierarchy aggregatedColumn="4"/>
        </ext>
      </extLst>
    </cacheHierarchy>
    <cacheHierarchy uniqueName="[Measures].[Count of country]" caption="Count of country" measure="1" displayFolder="" measureGroup="staff" count="0" hidden="1">
      <extLst>
        <ext xmlns:x15="http://schemas.microsoft.com/office/spreadsheetml/2010/11/main" uri="{B97F6D7D-B522-45F9-BDA1-12C45D357490}">
          <x15:cacheHierarchy aggregatedColumn="10"/>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 refreshedDate="45572.782521180554" backgroundQuery="1" createdVersion="8" refreshedVersion="8" minRefreshableVersion="3" recordCount="0" supportSubquery="1" supportAdvancedDrill="1" xr:uid="{96C055F4-F82E-4EE3-AD84-FA01E9AF2E41}">
  <cacheSource type="external" connectionId="4"/>
  <cacheFields count="3">
    <cacheField name="[staff].[Rating].[Rating]" caption="Rating" numFmtId="0" hierarchy="9" level="1">
      <sharedItems count="5">
        <s v="Above average"/>
        <s v="Average"/>
        <s v="Exceptional"/>
        <s v="Poor"/>
        <s v="Very poor"/>
      </sharedItems>
    </cacheField>
    <cacheField name="[Measures].[Count of Name]" caption="Count of Name" numFmtId="0" hierarchy="18" level="32767"/>
    <cacheField name="[Measures].[Average of Salary]" caption="Average of Salary" numFmtId="0" hierarchy="22" level="32767"/>
  </cacheFields>
  <cacheHierarchies count="30">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Joined]" caption="Date Joined" attribute="1" time="1" defaultMemberUniqueName="[staff].[Date Joined].[All]" allUniqueName="[staff].[Date Joined].[All]" dimensionUniqueName="[staff]" displayFolder="" count="0" memberValueDatatype="7" unbalanced="0"/>
    <cacheHierarchy uniqueName="[staff].[current date]" caption="current date" attribute="1" time="1" defaultMemberUniqueName="[staff].[current date].[All]" allUniqueName="[staff].[current date].[All]" dimensionUniqueName="[staff]" displayFolder="" count="0" memberValueDatatype="7" unbalanced="0"/>
    <cacheHierarchy uniqueName="[staff].[tenure]" caption="tenure" attribute="1" defaultMemberUniqueName="[staff].[tenure].[All]" allUniqueName="[staff].[tenure].[All]" dimensionUniqueName="[staff]" displayFolder="" count="0" memberValueDatatype="20" unbalanced="0"/>
    <cacheHierarchy uniqueName="[staff].[tenure in year]" caption="tenure in year" attribute="1" defaultMemberUniqueName="[staff].[tenure in year].[All]" allUniqueName="[staff].[tenure in year].[All]" dimensionUniqueName="[staff]" displayFolder="" count="0" memberValueDatatype="5" unbalanced="0"/>
    <cacheHierarchy uniqueName="[staff].[Salary]" caption="Salary" attribute="1" defaultMemberUniqueName="[staff].[Salary].[All]" allUniqueName="[staff].[Salary].[All]" dimensionUniqueName="[staff]" displayFolder="" count="0" memberValueDatatype="5"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country]" caption="country" attribute="1" defaultMemberUniqueName="[staff].[country].[All]" allUniqueName="[staff].[country].[All]" dimensionUniqueName="[staff]" displayFolder="" count="0" memberValueDatatype="130"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Gender]" caption="Count of Gender" measure="1" displayFolder="" measureGroup="staff" count="0" hidden="1">
      <extLst>
        <ext xmlns:x15="http://schemas.microsoft.com/office/spreadsheetml/2010/11/main" uri="{B97F6D7D-B522-45F9-BDA1-12C45D357490}">
          <x15:cacheHierarchy aggregatedColumn="1"/>
        </ext>
      </extLst>
    </cacheHierarchy>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8"/>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8"/>
        </ext>
      </extLst>
    </cacheHierarchy>
    <cacheHierarchy uniqueName="[Measures].[Sum of tenure in year]" caption="Sum of tenure in year" measure="1" displayFolder="" measureGroup="staff" count="0" hidden="1">
      <extLst>
        <ext xmlns:x15="http://schemas.microsoft.com/office/spreadsheetml/2010/11/main" uri="{B97F6D7D-B522-45F9-BDA1-12C45D357490}">
          <x15:cacheHierarchy aggregatedColumn="7"/>
        </ext>
      </extLst>
    </cacheHierarchy>
    <cacheHierarchy uniqueName="[Measures].[Count of Salary]" caption="Count of Salary" measure="1" displayFolder="" measureGroup="staff" count="0" hidden="1">
      <extLst>
        <ext xmlns:x15="http://schemas.microsoft.com/office/spreadsheetml/2010/11/main" uri="{B97F6D7D-B522-45F9-BDA1-12C45D357490}">
          <x15:cacheHierarchy aggregatedColumn="8"/>
        </ext>
      </extLst>
    </cacheHierarchy>
    <cacheHierarchy uniqueName="[Measures].[Count of tenure in year]" caption="Count of tenure in year" measure="1" displayFolder="" measureGroup="staff" count="0" hidden="1">
      <extLst>
        <ext xmlns:x15="http://schemas.microsoft.com/office/spreadsheetml/2010/11/main" uri="{B97F6D7D-B522-45F9-BDA1-12C45D357490}">
          <x15:cacheHierarchy aggregatedColumn="7"/>
        </ext>
      </extLst>
    </cacheHierarchy>
    <cacheHierarchy uniqueName="[Measures].[Average of tenure in year]" caption="Average of tenure in year" measure="1" displayFolder="" measureGroup="staff" count="0" hidden="1">
      <extLst>
        <ext xmlns:x15="http://schemas.microsoft.com/office/spreadsheetml/2010/11/main" uri="{B97F6D7D-B522-45F9-BDA1-12C45D357490}">
          <x15:cacheHierarchy aggregatedColumn="7"/>
        </ext>
      </extLst>
    </cacheHierarchy>
    <cacheHierarchy uniqueName="[Measures].[Max of tenure in year]" caption="Max of tenure in year" measure="1" displayFolder="" measureGroup="staff" count="0" hidden="1">
      <extLst>
        <ext xmlns:x15="http://schemas.microsoft.com/office/spreadsheetml/2010/11/main" uri="{B97F6D7D-B522-45F9-BDA1-12C45D357490}">
          <x15:cacheHierarchy aggregatedColumn="7"/>
        </ext>
      </extLst>
    </cacheHierarchy>
    <cacheHierarchy uniqueName="[Measures].[Count of Date Joined]" caption="Count of Date Joined" measure="1" displayFolder="" measureGroup="staff" count="0" hidden="1">
      <extLst>
        <ext xmlns:x15="http://schemas.microsoft.com/office/spreadsheetml/2010/11/main" uri="{B97F6D7D-B522-45F9-BDA1-12C45D357490}">
          <x15:cacheHierarchy aggregatedColumn="4"/>
        </ext>
      </extLst>
    </cacheHierarchy>
    <cacheHierarchy uniqueName="[Measures].[Count of country]" caption="Count of country" measure="1" displayFolder="" measureGroup="staff" count="0" hidden="1">
      <extLst>
        <ext xmlns:x15="http://schemas.microsoft.com/office/spreadsheetml/2010/11/main" uri="{B97F6D7D-B522-45F9-BDA1-12C45D357490}">
          <x15:cacheHierarchy aggregatedColumn="10"/>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 refreshedDate="45573.669888773147" backgroundQuery="1" createdVersion="8" refreshedVersion="8" minRefreshableVersion="3" recordCount="0" supportSubquery="1" supportAdvancedDrill="1" xr:uid="{8CBB917A-9ADF-4EC5-B177-FD5AEA982A30}">
  <cacheSource type="external" connectionId="4"/>
  <cacheFields count="4">
    <cacheField name="[staff].[Gender].[Gender]" caption="Gender" numFmtId="0" hierarchy="1" level="1">
      <sharedItems count="2">
        <s v="Female"/>
        <s v="Male" u="1"/>
      </sharedItems>
    </cacheField>
    <cacheField name="[staff].[country].[country]" caption="country" numFmtId="0" hierarchy="10" level="1">
      <sharedItems containsSemiMixedTypes="0" containsNonDate="0" containsString="0"/>
    </cacheField>
    <cacheField name="[staff].[Department].[Department]" caption="Department" numFmtId="0" hierarchy="2" level="1">
      <sharedItems count="5">
        <s v="Finance"/>
        <s v="HR"/>
        <s v="Procurement"/>
        <s v="Sales"/>
        <s v="Website"/>
      </sharedItems>
    </cacheField>
    <cacheField name="[Measures].[Count of Name]" caption="Count of Name" numFmtId="0" hierarchy="18" level="32767"/>
  </cacheFields>
  <cacheHierarchies count="30">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Department]" caption="Department" attribute="1" defaultMemberUniqueName="[staff].[Department].[All]" allUniqueName="[staff].[Department].[All]" dimensionUniqueName="[staff]" displayFolder="" count="2" memberValueDatatype="130" unbalanced="0">
      <fieldsUsage count="2">
        <fieldUsage x="-1"/>
        <fieldUsage x="2"/>
      </fieldsUsage>
    </cacheHierarchy>
    <cacheHierarchy uniqueName="[staff].[Age]" caption="Age" attribute="1" defaultMemberUniqueName="[staff].[Age].[All]" allUniqueName="[staff].[Age].[All]" dimensionUniqueName="[staff]" displayFolder="" count="0" memberValueDatatype="5" unbalanced="0"/>
    <cacheHierarchy uniqueName="[staff].[Date Joined]" caption="Date Joined" attribute="1" time="1" defaultMemberUniqueName="[staff].[Date Joined].[All]" allUniqueName="[staff].[Date Joined].[All]" dimensionUniqueName="[staff]" displayFolder="" count="0" memberValueDatatype="7" unbalanced="0"/>
    <cacheHierarchy uniqueName="[staff].[current date]" caption="current date" attribute="1" time="1" defaultMemberUniqueName="[staff].[current date].[All]" allUniqueName="[staff].[current date].[All]" dimensionUniqueName="[staff]" displayFolder="" count="0" memberValueDatatype="7" unbalanced="0"/>
    <cacheHierarchy uniqueName="[staff].[tenure]" caption="tenure" attribute="1" defaultMemberUniqueName="[staff].[tenure].[All]" allUniqueName="[staff].[tenure].[All]" dimensionUniqueName="[staff]" displayFolder="" count="0" memberValueDatatype="20" unbalanced="0"/>
    <cacheHierarchy uniqueName="[staff].[tenure in year]" caption="tenure in year" attribute="1" defaultMemberUniqueName="[staff].[tenure in year].[All]" allUniqueName="[staff].[tenure in year].[All]" dimensionUniqueName="[staff]" displayFolder="" count="0" memberValueDatatype="5" unbalanced="0"/>
    <cacheHierarchy uniqueName="[staff].[Salary]" caption="Salary" attribute="1" defaultMemberUniqueName="[staff].[Salary].[All]" allUniqueName="[staff].[Salary].[All]" dimensionUniqueName="[staff]" displayFolder="" count="0" memberValueDatatype="5"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Gender]" caption="Count of Gender" measure="1" displayFolder="" measureGroup="staff" count="0" hidden="1">
      <extLst>
        <ext xmlns:x15="http://schemas.microsoft.com/office/spreadsheetml/2010/11/main" uri="{B97F6D7D-B522-45F9-BDA1-12C45D357490}">
          <x15:cacheHierarchy aggregatedColumn="1"/>
        </ext>
      </extLst>
    </cacheHierarchy>
    <cacheHierarchy uniqueName="[Measures].[Count of Name]" caption="Count of Name" measure="1" displayFolder="" measureGroup="staff" count="0" oneField="1" hidden="1">
      <fieldsUsage count="1">
        <fieldUsage x="3"/>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8"/>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8"/>
        </ext>
      </extLst>
    </cacheHierarchy>
    <cacheHierarchy uniqueName="[Measures].[Sum of tenure in year]" caption="Sum of tenure in year" measure="1" displayFolder="" measureGroup="staff" count="0" hidden="1">
      <extLst>
        <ext xmlns:x15="http://schemas.microsoft.com/office/spreadsheetml/2010/11/main" uri="{B97F6D7D-B522-45F9-BDA1-12C45D357490}">
          <x15:cacheHierarchy aggregatedColumn="7"/>
        </ext>
      </extLst>
    </cacheHierarchy>
    <cacheHierarchy uniqueName="[Measures].[Count of Salary]" caption="Count of Salary" measure="1" displayFolder="" measureGroup="staff" count="0" hidden="1">
      <extLst>
        <ext xmlns:x15="http://schemas.microsoft.com/office/spreadsheetml/2010/11/main" uri="{B97F6D7D-B522-45F9-BDA1-12C45D357490}">
          <x15:cacheHierarchy aggregatedColumn="8"/>
        </ext>
      </extLst>
    </cacheHierarchy>
    <cacheHierarchy uniqueName="[Measures].[Count of tenure in year]" caption="Count of tenure in year" measure="1" displayFolder="" measureGroup="staff" count="0" hidden="1">
      <extLst>
        <ext xmlns:x15="http://schemas.microsoft.com/office/spreadsheetml/2010/11/main" uri="{B97F6D7D-B522-45F9-BDA1-12C45D357490}">
          <x15:cacheHierarchy aggregatedColumn="7"/>
        </ext>
      </extLst>
    </cacheHierarchy>
    <cacheHierarchy uniqueName="[Measures].[Average of tenure in year]" caption="Average of tenure in year" measure="1" displayFolder="" measureGroup="staff" count="0" hidden="1">
      <extLst>
        <ext xmlns:x15="http://schemas.microsoft.com/office/spreadsheetml/2010/11/main" uri="{B97F6D7D-B522-45F9-BDA1-12C45D357490}">
          <x15:cacheHierarchy aggregatedColumn="7"/>
        </ext>
      </extLst>
    </cacheHierarchy>
    <cacheHierarchy uniqueName="[Measures].[Max of tenure in year]" caption="Max of tenure in year" measure="1" displayFolder="" measureGroup="staff" count="0" hidden="1">
      <extLst>
        <ext xmlns:x15="http://schemas.microsoft.com/office/spreadsheetml/2010/11/main" uri="{B97F6D7D-B522-45F9-BDA1-12C45D357490}">
          <x15:cacheHierarchy aggregatedColumn="7"/>
        </ext>
      </extLst>
    </cacheHierarchy>
    <cacheHierarchy uniqueName="[Measures].[Count of Date Joined]" caption="Count of Date Joined" measure="1" displayFolder="" measureGroup="staff" count="0" hidden="1">
      <extLst>
        <ext xmlns:x15="http://schemas.microsoft.com/office/spreadsheetml/2010/11/main" uri="{B97F6D7D-B522-45F9-BDA1-12C45D357490}">
          <x15:cacheHierarchy aggregatedColumn="4"/>
        </ext>
      </extLst>
    </cacheHierarchy>
    <cacheHierarchy uniqueName="[Measures].[Count of country]" caption="Count of country" measure="1" displayFolder="" measureGroup="staff" count="0" hidden="1">
      <extLst>
        <ext xmlns:x15="http://schemas.microsoft.com/office/spreadsheetml/2010/11/main" uri="{B97F6D7D-B522-45F9-BDA1-12C45D357490}">
          <x15:cacheHierarchy aggregatedColumn="10"/>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 refreshedDate="45573.67098599537" backgroundQuery="1" createdVersion="8" refreshedVersion="8" minRefreshableVersion="3" recordCount="0" supportSubquery="1" supportAdvancedDrill="1" xr:uid="{B43C6502-FB2C-42EA-94E1-D7BC536EEAAD}">
  <cacheSource type="external" connectionId="4"/>
  <cacheFields count="4">
    <cacheField name="[staff].[Gender].[Gender]" caption="Gender" numFmtId="0" hierarchy="1" level="1">
      <sharedItems count="2">
        <s v="Female"/>
        <s v="Male" u="1"/>
      </sharedItems>
    </cacheField>
    <cacheField name="[staff].[country].[country]" caption="country" numFmtId="0" hierarchy="10" level="1">
      <sharedItems containsSemiMixedTypes="0" containsNonDate="0" containsString="0"/>
    </cacheField>
    <cacheField name="[staff].[Department].[Department]" caption="Department" numFmtId="0" hierarchy="2" level="1">
      <sharedItems count="5">
        <s v="Finance"/>
        <s v="HR"/>
        <s v="Procurement"/>
        <s v="Sales"/>
        <s v="Website"/>
      </sharedItems>
    </cacheField>
    <cacheField name="[Measures].[Count of Name]" caption="Count of Name" numFmtId="0" hierarchy="18" level="32767"/>
  </cacheFields>
  <cacheHierarchies count="30">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Department]" caption="Department" attribute="1" defaultMemberUniqueName="[staff].[Department].[All]" allUniqueName="[staff].[Department].[All]" dimensionUniqueName="[staff]" displayFolder="" count="2" memberValueDatatype="130" unbalanced="0">
      <fieldsUsage count="2">
        <fieldUsage x="-1"/>
        <fieldUsage x="2"/>
      </fieldsUsage>
    </cacheHierarchy>
    <cacheHierarchy uniqueName="[staff].[Age]" caption="Age" attribute="1" defaultMemberUniqueName="[staff].[Age].[All]" allUniqueName="[staff].[Age].[All]" dimensionUniqueName="[staff]" displayFolder="" count="0" memberValueDatatype="5" unbalanced="0"/>
    <cacheHierarchy uniqueName="[staff].[Date Joined]" caption="Date Joined" attribute="1" time="1" defaultMemberUniqueName="[staff].[Date Joined].[All]" allUniqueName="[staff].[Date Joined].[All]" dimensionUniqueName="[staff]" displayFolder="" count="0" memberValueDatatype="7" unbalanced="0"/>
    <cacheHierarchy uniqueName="[staff].[current date]" caption="current date" attribute="1" time="1" defaultMemberUniqueName="[staff].[current date].[All]" allUniqueName="[staff].[current date].[All]" dimensionUniqueName="[staff]" displayFolder="" count="0" memberValueDatatype="7" unbalanced="0"/>
    <cacheHierarchy uniqueName="[staff].[tenure]" caption="tenure" attribute="1" defaultMemberUniqueName="[staff].[tenure].[All]" allUniqueName="[staff].[tenure].[All]" dimensionUniqueName="[staff]" displayFolder="" count="0" memberValueDatatype="20" unbalanced="0"/>
    <cacheHierarchy uniqueName="[staff].[tenure in year]" caption="tenure in year" attribute="1" defaultMemberUniqueName="[staff].[tenure in year].[All]" allUniqueName="[staff].[tenure in year].[All]" dimensionUniqueName="[staff]" displayFolder="" count="0" memberValueDatatype="5" unbalanced="0"/>
    <cacheHierarchy uniqueName="[staff].[Salary]" caption="Salary" attribute="1" defaultMemberUniqueName="[staff].[Salary].[All]" allUniqueName="[staff].[Salary].[All]" dimensionUniqueName="[staff]" displayFolder="" count="0" memberValueDatatype="5"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Gender]" caption="Count of Gender" measure="1" displayFolder="" measureGroup="staff" count="0" hidden="1">
      <extLst>
        <ext xmlns:x15="http://schemas.microsoft.com/office/spreadsheetml/2010/11/main" uri="{B97F6D7D-B522-45F9-BDA1-12C45D357490}">
          <x15:cacheHierarchy aggregatedColumn="1"/>
        </ext>
      </extLst>
    </cacheHierarchy>
    <cacheHierarchy uniqueName="[Measures].[Count of Name]" caption="Count of Name" measure="1" displayFolder="" measureGroup="staff" count="0" oneField="1" hidden="1">
      <fieldsUsage count="1">
        <fieldUsage x="3"/>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8"/>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8"/>
        </ext>
      </extLst>
    </cacheHierarchy>
    <cacheHierarchy uniqueName="[Measures].[Sum of tenure in year]" caption="Sum of tenure in year" measure="1" displayFolder="" measureGroup="staff" count="0" hidden="1">
      <extLst>
        <ext xmlns:x15="http://schemas.microsoft.com/office/spreadsheetml/2010/11/main" uri="{B97F6D7D-B522-45F9-BDA1-12C45D357490}">
          <x15:cacheHierarchy aggregatedColumn="7"/>
        </ext>
      </extLst>
    </cacheHierarchy>
    <cacheHierarchy uniqueName="[Measures].[Count of Salary]" caption="Count of Salary" measure="1" displayFolder="" measureGroup="staff" count="0" hidden="1">
      <extLst>
        <ext xmlns:x15="http://schemas.microsoft.com/office/spreadsheetml/2010/11/main" uri="{B97F6D7D-B522-45F9-BDA1-12C45D357490}">
          <x15:cacheHierarchy aggregatedColumn="8"/>
        </ext>
      </extLst>
    </cacheHierarchy>
    <cacheHierarchy uniqueName="[Measures].[Count of tenure in year]" caption="Count of tenure in year" measure="1" displayFolder="" measureGroup="staff" count="0" hidden="1">
      <extLst>
        <ext xmlns:x15="http://schemas.microsoft.com/office/spreadsheetml/2010/11/main" uri="{B97F6D7D-B522-45F9-BDA1-12C45D357490}">
          <x15:cacheHierarchy aggregatedColumn="7"/>
        </ext>
      </extLst>
    </cacheHierarchy>
    <cacheHierarchy uniqueName="[Measures].[Average of tenure in year]" caption="Average of tenure in year" measure="1" displayFolder="" measureGroup="staff" count="0" hidden="1">
      <extLst>
        <ext xmlns:x15="http://schemas.microsoft.com/office/spreadsheetml/2010/11/main" uri="{B97F6D7D-B522-45F9-BDA1-12C45D357490}">
          <x15:cacheHierarchy aggregatedColumn="7"/>
        </ext>
      </extLst>
    </cacheHierarchy>
    <cacheHierarchy uniqueName="[Measures].[Max of tenure in year]" caption="Max of tenure in year" measure="1" displayFolder="" measureGroup="staff" count="0" hidden="1">
      <extLst>
        <ext xmlns:x15="http://schemas.microsoft.com/office/spreadsheetml/2010/11/main" uri="{B97F6D7D-B522-45F9-BDA1-12C45D357490}">
          <x15:cacheHierarchy aggregatedColumn="7"/>
        </ext>
      </extLst>
    </cacheHierarchy>
    <cacheHierarchy uniqueName="[Measures].[Count of Date Joined]" caption="Count of Date Joined" measure="1" displayFolder="" measureGroup="staff" count="0" hidden="1">
      <extLst>
        <ext xmlns:x15="http://schemas.microsoft.com/office/spreadsheetml/2010/11/main" uri="{B97F6D7D-B522-45F9-BDA1-12C45D357490}">
          <x15:cacheHierarchy aggregatedColumn="4"/>
        </ext>
      </extLst>
    </cacheHierarchy>
    <cacheHierarchy uniqueName="[Measures].[Count of country]" caption="Count of country" measure="1" displayFolder="" measureGroup="staff" count="0" hidden="1">
      <extLst>
        <ext xmlns:x15="http://schemas.microsoft.com/office/spreadsheetml/2010/11/main" uri="{B97F6D7D-B522-45F9-BDA1-12C45D357490}">
          <x15:cacheHierarchy aggregatedColumn="10"/>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 refreshedDate="45572.782522337962" backgroundQuery="1" createdVersion="3" refreshedVersion="8" minRefreshableVersion="3" recordCount="0" supportSubquery="1" supportAdvancedDrill="1" xr:uid="{1D914FFF-04C2-4703-8BAC-BDDEA5A0247D}">
  <cacheSource type="external" connectionId="4">
    <extLst>
      <ext xmlns:x14="http://schemas.microsoft.com/office/spreadsheetml/2009/9/main" uri="{F057638F-6D5F-4e77-A914-E7F072B9BCA8}">
        <x14:sourceConnection name="ThisWorkbookDataModel"/>
      </ext>
    </extLst>
  </cacheSource>
  <cacheFields count="0"/>
  <cacheHierarchies count="29">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Joined]" caption="Date Joined" attribute="1" time="1" defaultMemberUniqueName="[staff].[Date Joined].[All]" allUniqueName="[staff].[Date Joined].[All]" dimensionUniqueName="[staff]" displayFolder="" count="0" memberValueDatatype="7" unbalanced="0"/>
    <cacheHierarchy uniqueName="[staff].[current date]" caption="current date" attribute="1" time="1" defaultMemberUniqueName="[staff].[current date].[All]" allUniqueName="[staff].[current date].[All]" dimensionUniqueName="[staff]" displayFolder="" count="0" memberValueDatatype="7" unbalanced="0"/>
    <cacheHierarchy uniqueName="[staff].[tenure]" caption="tenure" attribute="1" defaultMemberUniqueName="[staff].[tenure].[All]" allUniqueName="[staff].[tenure].[All]" dimensionUniqueName="[staff]" displayFolder="" count="0" memberValueDatatype="20" unbalanced="0"/>
    <cacheHierarchy uniqueName="[staff].[tenure in year]" caption="tenure in year" attribute="1" defaultMemberUniqueName="[staff].[tenure in year].[All]" allUniqueName="[staff].[tenure in year].[All]" dimensionUniqueName="[staff]" displayFolder="" count="0" memberValueDatatype="5" unbalanced="0"/>
    <cacheHierarchy uniqueName="[staff].[Salary]" caption="Salary" attribute="1" defaultMemberUniqueName="[staff].[Salary].[All]" allUniqueName="[staff].[Salary].[All]" dimensionUniqueName="[staff]" displayFolder="" count="0" memberValueDatatype="5"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Gender]" caption="Count of Gender" measure="1" displayFolder="" measureGroup="staff" count="0" hidden="1">
      <extLst>
        <ext xmlns:x15="http://schemas.microsoft.com/office/spreadsheetml/2010/11/main" uri="{B97F6D7D-B522-45F9-BDA1-12C45D357490}">
          <x15:cacheHierarchy aggregatedColumn="1"/>
        </ext>
      </extLst>
    </cacheHierarchy>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8"/>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8"/>
        </ext>
      </extLst>
    </cacheHierarchy>
    <cacheHierarchy uniqueName="[Measures].[Sum of tenure in year]" caption="Sum of tenure in year" measure="1" displayFolder="" measureGroup="staff" count="0" hidden="1">
      <extLst>
        <ext xmlns:x15="http://schemas.microsoft.com/office/spreadsheetml/2010/11/main" uri="{B97F6D7D-B522-45F9-BDA1-12C45D357490}">
          <x15:cacheHierarchy aggregatedColumn="7"/>
        </ext>
      </extLst>
    </cacheHierarchy>
    <cacheHierarchy uniqueName="[Measures].[Count of Salary]" caption="Count of Salary" measure="1" displayFolder="" measureGroup="staff" count="0" hidden="1">
      <extLst>
        <ext xmlns:x15="http://schemas.microsoft.com/office/spreadsheetml/2010/11/main" uri="{B97F6D7D-B522-45F9-BDA1-12C45D357490}">
          <x15:cacheHierarchy aggregatedColumn="8"/>
        </ext>
      </extLst>
    </cacheHierarchy>
    <cacheHierarchy uniqueName="[Measures].[Count of tenure in year]" caption="Count of tenure in year" measure="1" displayFolder="" measureGroup="staff" count="0" hidden="1">
      <extLst>
        <ext xmlns:x15="http://schemas.microsoft.com/office/spreadsheetml/2010/11/main" uri="{B97F6D7D-B522-45F9-BDA1-12C45D357490}">
          <x15:cacheHierarchy aggregatedColumn="7"/>
        </ext>
      </extLst>
    </cacheHierarchy>
    <cacheHierarchy uniqueName="[Measures].[Average of tenure in year]" caption="Average of tenure in year" measure="1" displayFolder="" measureGroup="staff" count="0" hidden="1">
      <extLst>
        <ext xmlns:x15="http://schemas.microsoft.com/office/spreadsheetml/2010/11/main" uri="{B97F6D7D-B522-45F9-BDA1-12C45D357490}">
          <x15:cacheHierarchy aggregatedColumn="7"/>
        </ext>
      </extLst>
    </cacheHierarchy>
    <cacheHierarchy uniqueName="[Measures].[Max of tenure in year]" caption="Max of tenure in year" measure="1" displayFolder="" measureGroup="staff" count="0" hidden="1">
      <extLst>
        <ext xmlns:x15="http://schemas.microsoft.com/office/spreadsheetml/2010/11/main" uri="{B97F6D7D-B522-45F9-BDA1-12C45D357490}">
          <x15:cacheHierarchy aggregatedColumn="7"/>
        </ext>
      </extLst>
    </cacheHierarchy>
    <cacheHierarchy uniqueName="[Measures].[Count of Date Joined]" caption="Count of Date Joined" measure="1" displayFolder="" measureGroup="staff" count="0" hidden="1">
      <extLst>
        <ext xmlns:x15="http://schemas.microsoft.com/office/spreadsheetml/2010/11/main" uri="{B97F6D7D-B522-45F9-BDA1-12C45D357490}">
          <x15:cacheHierarchy aggregatedColumn="4"/>
        </ext>
      </extLst>
    </cacheHierarchy>
  </cacheHierarchies>
  <kpis count="0"/>
  <extLst>
    <ext xmlns:x14="http://schemas.microsoft.com/office/spreadsheetml/2009/9/main" uri="{725AE2AE-9491-48be-B2B4-4EB974FC3084}">
      <x14:pivotCacheDefinition slicerData="1" pivotCacheId="147858911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3A58F0-AE76-4164-81C9-1D497D254D19}" name="PivotTable2" cacheId="18"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8"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Average of Salary" fld="1" subtotal="average" baseField="0" baseItem="0" numFmtId="164"/>
    <dataField name="Average of tenure in year" fld="4" subtotal="average" baseField="0" baseItem="0" numFmtId="1"/>
    <dataField name="Average of Age" fld="2" subtotal="average" baseField="0" baseItem="0" numFmtId="1"/>
    <dataField name="Sum of tenure in year" fld="3" baseField="0" baseItem="0" numFmtId="1"/>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caption="Average of Age"/>
    <pivotHierarchy dragToData="1"/>
    <pivotHierarchy dragToData="1" caption="Average of Salary"/>
    <pivotHierarchy dragToData="1"/>
    <pivotHierarchy dragToData="1" caption="Count of Salary"/>
    <pivotHierarchy dragToData="1" caption="Count of tenure in year"/>
    <pivotHierarchy dragToData="1" caption="Average of tenure in year"/>
    <pivotHierarchy dragToData="1" caption="Max of tenure in year"/>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7451628-FCC3-48B4-993E-3E985D024764}" name="PivotTable5" cacheId="1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
  <location ref="B3:C40" firstHeaderRow="1" firstDataRow="1" firstDataCol="1" rowPageCount="1" colPageCount="1"/>
  <pivotFields count="4">
    <pivotField axis="axisRow" allDrilled="1" subtotalTop="0" showAll="0" dataSourceSort="1" defaultSubtotal="0" defaultAttributeDrillState="1">
      <items count="12">
        <item x="0"/>
        <item x="1"/>
        <item x="2"/>
        <item x="3"/>
        <item x="4"/>
        <item x="5"/>
        <item x="6"/>
        <item x="7"/>
        <item x="8"/>
        <item x="9"/>
        <item x="10"/>
        <item x="11"/>
      </items>
    </pivotField>
    <pivotField axis="axisPage" allDrilled="1" subtotalTop="0" showAll="0" dataSourceSort="1" defaultSubtotal="0" defaultAttributeDrillState="1"/>
    <pivotField axis="axisRow" allDrilled="1" subtotalTop="0" showAll="0" dataSourceSort="1" defaultSubtotal="0">
      <items count="4">
        <item x="0"/>
        <item x="1"/>
        <item x="2"/>
        <item x="3"/>
      </items>
    </pivotField>
    <pivotField dataField="1" subtotalTop="0" showAll="0" defaultSubtotal="0"/>
  </pivotFields>
  <rowFields count="2">
    <field x="2"/>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pageFields count="1">
    <pageField fld="1" hier="12" name="[staff].[Date Joined (Quarter)].[All]" cap="All"/>
  </pageFields>
  <dataFields count="1">
    <dataField name="Count of Name" fld="3" subtotal="count" showDataAs="runTotal" baseField="0" baseItem="0"/>
  </dataFields>
  <chartFormats count="1">
    <chartFormat chart="1" format="0"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324DF11-0A26-4D54-8208-86041346E933}" name="PivotTable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D8" firstHeaderRow="0" firstDataRow="1" firstDataCol="1"/>
  <pivotFields count="3">
    <pivotField axis="axisRow" allDrilled="1" subtotalTop="0" showAll="0" defaultSubtotal="0" defaultAttributeDrillState="1">
      <items count="5">
        <item s="1" x="2"/>
        <item s="1" x="0"/>
        <item s="1" x="1"/>
        <item s="1" x="3"/>
        <item s="1"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64"/>
  </dataField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Average of Salary"/>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E0405D1-7B3A-40BA-9DD9-4662BDE3C5E8}" name="PivotTable2"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E3:F10" firstHeaderRow="1" firstDataRow="1" firstDataCol="1" rowPageCount="1" colPageCount="1"/>
  <pivotFields count="4">
    <pivotField axis="axisRow" allDrilled="1" subtotalTop="0" showAll="0" dataSourceSort="1" defaultSubtotal="0" defaultAttributeDrillState="1">
      <items count="2">
        <item s="1" x="0"/>
        <item x="1"/>
      </items>
    </pivotField>
    <pivotField axis="axisPage" allDrilled="1" subtotalTop="0" showAll="0" dataSourceSort="1" defaultSubtotal="0" defaultAttributeDrillState="1"/>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2">
    <field x="0"/>
    <field x="2"/>
  </rowFields>
  <rowItems count="7">
    <i>
      <x/>
    </i>
    <i r="1">
      <x v="4"/>
    </i>
    <i r="1">
      <x v="2"/>
    </i>
    <i r="1">
      <x/>
    </i>
    <i r="1">
      <x v="3"/>
    </i>
    <i r="1">
      <x v="1"/>
    </i>
    <i t="grand">
      <x/>
    </i>
  </rowItems>
  <colItems count="1">
    <i/>
  </colItems>
  <pageFields count="1">
    <pageField fld="1" hier="10" name="[staff].[country].&amp;[india]" cap="india"/>
  </pageFields>
  <dataFields count="1">
    <dataField name="Count of Name" fld="3" subtotal="count" baseField="0" baseItem="0"/>
  </dataFields>
  <formats count="3">
    <format dxfId="29">
      <pivotArea collapsedLevelsAreSubtotals="1" fieldPosition="0">
        <references count="1">
          <reference field="0" count="1">
            <x v="0"/>
          </reference>
        </references>
      </pivotArea>
    </format>
    <format dxfId="30">
      <pivotArea collapsedLevelsAreSubtotals="1" fieldPosition="0">
        <references count="1">
          <reference field="0" count="1">
            <x v="1"/>
          </reference>
        </references>
      </pivotArea>
    </format>
    <format dxfId="13">
      <pivotArea grandRow="1" outline="0" collapsedLevelsAreSubtotals="1" fieldPosition="0"/>
    </format>
  </formats>
  <chartFormats count="3">
    <chartFormat chart="2"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Average of Salary"/>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B7FC784-FFAB-4805-86EE-6FB72D628025}" name="PivotTable1" cacheId="6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3:C10" firstHeaderRow="1" firstDataRow="1" firstDataCol="1" rowPageCount="1" colPageCount="1"/>
  <pivotFields count="4">
    <pivotField axis="axisRow" allDrilled="1" subtotalTop="0" showAll="0" dataSourceSort="1" defaultSubtotal="0" defaultAttributeDrillState="1">
      <items count="2">
        <item s="1" x="0"/>
        <item x="1"/>
      </items>
    </pivotField>
    <pivotField axis="axisPage" allDrilled="1" subtotalTop="0" showAll="0" dataSourceSort="1" defaultSubtotal="0" defaultAttributeDrillState="1"/>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2">
    <field x="0"/>
    <field x="2"/>
  </rowFields>
  <rowItems count="7">
    <i>
      <x/>
    </i>
    <i r="1">
      <x v="4"/>
    </i>
    <i r="1">
      <x v="2"/>
    </i>
    <i r="1">
      <x/>
    </i>
    <i r="1">
      <x v="3"/>
    </i>
    <i r="1">
      <x v="1"/>
    </i>
    <i t="grand">
      <x/>
    </i>
  </rowItems>
  <colItems count="1">
    <i/>
  </colItems>
  <pageFields count="1">
    <pageField fld="1" hier="10" name="[staff].[country].&amp;[NZ]" cap="NZ"/>
  </pageFields>
  <dataFields count="1">
    <dataField name="Count of Name" fld="3" subtotal="count" baseField="0" baseItem="0"/>
  </dataFields>
  <formats count="3">
    <format dxfId="57">
      <pivotArea collapsedLevelsAreSubtotals="1" fieldPosition="0">
        <references count="1">
          <reference field="0" count="1">
            <x v="0"/>
          </reference>
        </references>
      </pivotArea>
    </format>
    <format dxfId="56">
      <pivotArea collapsedLevelsAreSubtotals="1" fieldPosition="0">
        <references count="1">
          <reference field="0" count="1">
            <x v="1"/>
          </reference>
        </references>
      </pivotArea>
    </format>
    <format dxfId="17">
      <pivotArea grandRow="1" outline="0" collapsedLevelsAreSubtotals="1" fieldPosition="0"/>
    </format>
  </formats>
  <chartFormats count="3">
    <chartFormat chart="2"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Average of Salary"/>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8EE38A34-9A39-498F-8C41-F79DFC3377FF}" autoFormatId="16" applyNumberFormats="0" applyBorderFormats="0" applyFontFormats="0" applyPatternFormats="0" applyAlignmentFormats="0" applyWidthHeightFormats="0">
  <queryTableRefresh nextId="14" unboundColumnsRight="2">
    <queryTableFields count="13">
      <queryTableField id="1" name="Name" tableColumnId="1"/>
      <queryTableField id="2" name="Gender" tableColumnId="2"/>
      <queryTableField id="3" name="Department" tableColumnId="3"/>
      <queryTableField id="4" name="Age" tableColumnId="4"/>
      <queryTableField id="5" name="Date Joined" tableColumnId="5"/>
      <queryTableField id="9" dataBound="0" tableColumnId="9"/>
      <queryTableField id="10" dataBound="0" tableColumnId="10"/>
      <queryTableField id="11" dataBound="0" tableColumnId="11"/>
      <queryTableField id="6" name="Salary" tableColumnId="6"/>
      <queryTableField id="7" name="Rating" tableColumnId="7"/>
      <queryTableField id="8" name="country" tableColumnId="8"/>
      <queryTableField id="12" dataBound="0" tableColumnId="12"/>
      <queryTableField id="13" dataBound="0"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F5F6FFC-4190-475F-8722-65A58046BD53}" sourceName="[staff].[country]">
  <pivotTables>
    <pivotTable tabId="6" name="PivotTable2"/>
  </pivotTables>
  <data>
    <olap pivotCacheId="1478589118">
      <levels count="2">
        <level uniqueName="[staff].[country].[(All)]" sourceCaption="(All)" count="0"/>
        <level uniqueName="[staff].[country].[country]" sourceCaption="country" count="2">
          <ranges>
            <range startItem="0">
              <i n="[staff].[country].&amp;[india]" c="india"/>
              <i n="[staff].[country].&amp;[NZ]" c="NZ"/>
            </range>
          </ranges>
        </level>
      </levels>
      <selections count="1">
        <selection n="[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ABFD09C7-CC37-4587-8F4A-4664609DF223}" cache="Slicer_country" caption="country" level="1"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2A1BBE-5119-4A2A-95FD-50171A00D3EF}" name="newzeland" displayName="newzeland" ref="C5:I106" totalsRowCount="1">
  <autoFilter ref="C5:I105" xr:uid="{682A1BBE-5119-4A2A-95FD-50171A00D3EF}"/>
  <tableColumns count="7">
    <tableColumn id="1" xr3:uid="{146ADC33-9690-4A2D-B13B-E63BBB32C8E1}" name="Name" totalsRowLabel="Total"/>
    <tableColumn id="2" xr3:uid="{1CB514BF-D1D1-4F00-9B0F-51F6F1A4F03F}" name="Gender"/>
    <tableColumn id="3" xr3:uid="{56F4A1E8-423A-4C9B-998F-1554F01E37C4}" name="Department"/>
    <tableColumn id="4" xr3:uid="{F9B37D19-541A-4ACF-B9A2-72A9A3ACFEC8}" name="Age" totalsRowFunction="average"/>
    <tableColumn id="5" xr3:uid="{EA5BF86E-1FCD-41D7-BBA5-0026EC0D0A80}" name="Date Joined" totalsRowFunction="average"/>
    <tableColumn id="6" xr3:uid="{5EB687CB-9076-451A-B10F-C406990B4738}" name="Salary" totalsRowFunction="average" dataDxfId="91"/>
    <tableColumn id="7" xr3:uid="{5D88EA74-1813-46D0-B32E-B6D4FD16266F}"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6655A66-D15E-4287-BDED-62D0683C8ADF}" name="indian" displayName="indian" ref="A1:G94" totalsRowCount="1" headerRowDxfId="90" dataDxfId="89">
  <autoFilter ref="A1:G93" xr:uid="{56655A66-D15E-4287-BDED-62D0683C8ADF}"/>
  <tableColumns count="7">
    <tableColumn id="1" xr3:uid="{0700D4BD-7230-496C-A647-DC3576CE976C}" name="Name" totalsRowFunction="count" dataDxfId="88" totalsRowDxfId="87"/>
    <tableColumn id="2" xr3:uid="{54C5A65A-CE43-4A98-9595-984C6662520C}" name="Gender" totalsRowFunction="count" dataDxfId="86" totalsRowDxfId="85"/>
    <tableColumn id="3" xr3:uid="{A44FA84F-A971-49AA-A044-B4C895FAD650}" name="Age" totalsRowFunction="average" dataDxfId="84" totalsRowDxfId="83"/>
    <tableColumn id="4" xr3:uid="{7C6D00EB-D86B-4518-AEA1-3ADD1DE99C86}" name="Rating" dataDxfId="82" totalsRowDxfId="81"/>
    <tableColumn id="5" xr3:uid="{BF3883C6-5E7F-449F-8BAB-EEEE6A8A7859}" name="Date Joined" dataDxfId="80" totalsRowDxfId="79"/>
    <tableColumn id="6" xr3:uid="{28DABC31-1C05-4E3D-AFF8-808F51C7F7A2}" name="Department" dataDxfId="78" totalsRowDxfId="77"/>
    <tableColumn id="7" xr3:uid="{D0C7FE3C-2C8E-4955-B84C-C9C1EA105FE6}" name="Salary" totalsRowFunction="average" dataDxfId="76" totalsRowDxfId="75"/>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D9BA28A-A56D-4928-97A0-660B38A31781}" name="staff" displayName="staff" ref="A1:M186" tableType="queryTable" totalsRowShown="0" dataDxfId="74">
  <autoFilter ref="A1:M186" xr:uid="{0D9BA28A-A56D-4928-97A0-660B38A31781}"/>
  <sortState xmlns:xlrd2="http://schemas.microsoft.com/office/spreadsheetml/2017/richdata2" ref="A2:L186">
    <sortCondition ref="I1:I186"/>
  </sortState>
  <tableColumns count="13">
    <tableColumn id="1" xr3:uid="{E4CCAF30-A8C7-47ED-BB61-5803727E2C25}" uniqueName="1" name="Name" queryTableFieldId="1" dataDxfId="73"/>
    <tableColumn id="2" xr3:uid="{91E96CEE-1914-4D15-AB65-DA356BEBB7A3}" uniqueName="2" name="Gender" queryTableFieldId="2" dataDxfId="72"/>
    <tableColumn id="3" xr3:uid="{5AADEA05-791A-4C2D-9995-6C45274A46C7}" uniqueName="3" name="Department" queryTableFieldId="3" dataDxfId="71"/>
    <tableColumn id="4" xr3:uid="{08E6721F-AF7D-44B9-893C-34A6992110B8}" uniqueName="4" name="Age" queryTableFieldId="4" dataDxfId="70"/>
    <tableColumn id="5" xr3:uid="{282D447C-E5E4-4FE0-80EF-7453E3A73E1A}" uniqueName="5" name="Date Joined" queryTableFieldId="5" dataDxfId="69"/>
    <tableColumn id="9" xr3:uid="{AC904AB8-E987-4FA9-9C0C-729558889AF8}" uniqueName="9" name="current date" queryTableFieldId="9" dataDxfId="68">
      <calculatedColumnFormula>TODAY()</calculatedColumnFormula>
    </tableColumn>
    <tableColumn id="10" xr3:uid="{E3FEEFCB-F100-4A26-8B5C-EAF2AEB45EC6}" uniqueName="10" name="tenure" queryTableFieldId="10" dataDxfId="67">
      <calculatedColumnFormula>staff[[#This Row],[current date]]-staff[[#This Row],[Date Joined]]</calculatedColumnFormula>
    </tableColumn>
    <tableColumn id="11" xr3:uid="{452E198F-58D3-4FA8-9920-A7D3FA149669}" uniqueName="11" name="tenure in year" queryTableFieldId="11" dataDxfId="66">
      <calculatedColumnFormula>staff[[#This Row],[tenure]]/365</calculatedColumnFormula>
    </tableColumn>
    <tableColumn id="6" xr3:uid="{C5F1F37C-CED0-4385-B2EA-89C5B909EFC0}" uniqueName="6" name="Salary" queryTableFieldId="6" dataDxfId="65" dataCellStyle="Currency"/>
    <tableColumn id="7" xr3:uid="{E0E68FD3-2D3C-4C27-AB75-80D27998FB9F}" uniqueName="7" name="Rating" queryTableFieldId="7" dataDxfId="64"/>
    <tableColumn id="8" xr3:uid="{13A93161-7A26-4FBC-9695-75E50F68AC0F}" uniqueName="8" name="country" queryTableFieldId="8" dataDxfId="63"/>
    <tableColumn id="12" xr3:uid="{B1EA81CD-7CE2-4F52-BA0A-E7541CC58405}" uniqueName="12" name="Bouns" queryTableFieldId="12" dataDxfId="62" dataCellStyle="Currency">
      <calculatedColumnFormula>ROUNDUP(IF(staff[[#This Row],[tenure in year]]&gt;2,3%,2%)*staff[[#This Row],[Salary]],0)</calculatedColumnFormula>
    </tableColumn>
    <tableColumn id="13" xr3:uid="{E5784209-4F65-4FD4-9DEE-D4C8DE6FD1A0}" uniqueName="13" name="ranting  in number" queryTableFieldId="13" dataDxfId="61">
      <calculatedColumnFormula>_xlfn.XLOOKUP(staff[[#This Row],[Rating]],Sheet6!$B$3:$B$7,Sheet6!$C$3:$C$7)</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showGridLines="0" topLeftCell="A2" workbookViewId="0">
      <selection activeCell="C10" sqref="C10"/>
    </sheetView>
  </sheetViews>
  <sheetFormatPr defaultRowHeight="15"/>
  <cols>
    <col min="1" max="1" width="1.7109375" customWidth="1"/>
    <col min="2" max="2" width="3.7109375" customWidth="1"/>
    <col min="3" max="3" width="36.42578125" bestFit="1" customWidth="1"/>
    <col min="4" max="4" width="10" bestFit="1" customWidth="1"/>
    <col min="5" max="5" width="13.85546875" customWidth="1"/>
    <col min="7" max="7" width="13.7109375" bestFit="1" customWidth="1"/>
    <col min="8" max="8" width="11.85546875" bestFit="1" customWidth="1"/>
    <col min="9" max="9" width="14.28515625" bestFit="1" customWidth="1"/>
  </cols>
  <sheetData>
    <row r="1" spans="1:9" s="2" customFormat="1" ht="52.5" customHeight="1">
      <c r="A1" s="1"/>
      <c r="C1" s="3" t="s">
        <v>110</v>
      </c>
    </row>
    <row r="5" spans="1:9">
      <c r="C5" t="s">
        <v>0</v>
      </c>
      <c r="D5" t="s">
        <v>1</v>
      </c>
      <c r="E5" t="s">
        <v>2</v>
      </c>
      <c r="F5" t="s">
        <v>3</v>
      </c>
      <c r="G5" s="4" t="s">
        <v>4</v>
      </c>
      <c r="H5" t="s">
        <v>5</v>
      </c>
      <c r="I5" t="s">
        <v>6</v>
      </c>
    </row>
    <row r="6" spans="1:9">
      <c r="C6" t="s">
        <v>58</v>
      </c>
      <c r="D6" t="s">
        <v>15</v>
      </c>
      <c r="E6" t="s">
        <v>19</v>
      </c>
      <c r="F6">
        <v>22</v>
      </c>
      <c r="G6" s="4">
        <v>44446</v>
      </c>
      <c r="H6" s="8">
        <v>112780</v>
      </c>
      <c r="I6" t="s">
        <v>13</v>
      </c>
    </row>
    <row r="7" spans="1:9">
      <c r="C7" t="s">
        <v>70</v>
      </c>
      <c r="D7" t="s">
        <v>15</v>
      </c>
      <c r="E7" t="s">
        <v>9</v>
      </c>
      <c r="F7">
        <v>46</v>
      </c>
      <c r="G7" s="4">
        <v>44758</v>
      </c>
      <c r="H7" s="8">
        <v>70610</v>
      </c>
      <c r="I7" t="s">
        <v>16</v>
      </c>
    </row>
    <row r="8" spans="1:9">
      <c r="C8" t="s">
        <v>75</v>
      </c>
      <c r="D8" t="s">
        <v>8</v>
      </c>
      <c r="E8" t="s">
        <v>19</v>
      </c>
      <c r="F8">
        <v>28</v>
      </c>
      <c r="G8" s="4">
        <v>44357</v>
      </c>
      <c r="H8" s="8">
        <v>53240</v>
      </c>
      <c r="I8" t="s">
        <v>16</v>
      </c>
    </row>
    <row r="9" spans="1:9">
      <c r="C9" t="s">
        <v>49</v>
      </c>
      <c r="E9" t="s">
        <v>21</v>
      </c>
      <c r="F9">
        <v>37</v>
      </c>
      <c r="G9" s="4">
        <v>44146</v>
      </c>
      <c r="H9" s="8">
        <v>115440</v>
      </c>
      <c r="I9" t="s">
        <v>24</v>
      </c>
    </row>
    <row r="10" spans="1:9">
      <c r="C10" t="s">
        <v>65</v>
      </c>
      <c r="D10" t="s">
        <v>15</v>
      </c>
      <c r="E10" t="s">
        <v>19</v>
      </c>
      <c r="F10">
        <v>32</v>
      </c>
      <c r="G10" s="4">
        <v>44465</v>
      </c>
      <c r="H10" s="8">
        <v>53540</v>
      </c>
      <c r="I10" t="s">
        <v>16</v>
      </c>
    </row>
    <row r="11" spans="1:9">
      <c r="C11" t="s">
        <v>81</v>
      </c>
      <c r="D11" t="s">
        <v>8</v>
      </c>
      <c r="E11" t="s">
        <v>9</v>
      </c>
      <c r="F11">
        <v>30</v>
      </c>
      <c r="G11" s="4">
        <v>44861</v>
      </c>
      <c r="H11" s="8">
        <v>112570</v>
      </c>
      <c r="I11" t="s">
        <v>16</v>
      </c>
    </row>
    <row r="12" spans="1:9">
      <c r="C12" t="s">
        <v>51</v>
      </c>
      <c r="D12" t="s">
        <v>15</v>
      </c>
      <c r="E12" t="s">
        <v>9</v>
      </c>
      <c r="F12">
        <v>33</v>
      </c>
      <c r="G12" s="4">
        <v>44701</v>
      </c>
      <c r="H12" s="8">
        <v>48530</v>
      </c>
      <c r="I12" t="s">
        <v>13</v>
      </c>
    </row>
    <row r="13" spans="1:9">
      <c r="C13" t="s">
        <v>61</v>
      </c>
      <c r="D13" t="s">
        <v>8</v>
      </c>
      <c r="E13" t="s">
        <v>12</v>
      </c>
      <c r="F13">
        <v>24</v>
      </c>
      <c r="G13" s="4">
        <v>44148</v>
      </c>
      <c r="H13" s="8">
        <v>62780</v>
      </c>
      <c r="I13" t="s">
        <v>16</v>
      </c>
    </row>
    <row r="14" spans="1:9">
      <c r="C14" t="s">
        <v>82</v>
      </c>
      <c r="D14" t="s">
        <v>15</v>
      </c>
      <c r="E14" t="s">
        <v>12</v>
      </c>
      <c r="F14">
        <v>33</v>
      </c>
      <c r="G14" s="4">
        <v>44509</v>
      </c>
      <c r="H14" s="8">
        <v>53870</v>
      </c>
      <c r="I14" t="s">
        <v>16</v>
      </c>
    </row>
    <row r="15" spans="1:9">
      <c r="C15" t="s">
        <v>60</v>
      </c>
      <c r="D15" t="s">
        <v>8</v>
      </c>
      <c r="E15" t="s">
        <v>56</v>
      </c>
      <c r="F15">
        <v>27</v>
      </c>
      <c r="G15" s="4">
        <v>44122</v>
      </c>
      <c r="H15" s="8">
        <v>119110</v>
      </c>
      <c r="I15" t="s">
        <v>16</v>
      </c>
    </row>
    <row r="16" spans="1:9">
      <c r="C16" t="s">
        <v>87</v>
      </c>
      <c r="D16" t="s">
        <v>15</v>
      </c>
      <c r="E16" t="s">
        <v>12</v>
      </c>
      <c r="F16">
        <v>29</v>
      </c>
      <c r="G16" s="4">
        <v>44180</v>
      </c>
      <c r="H16" s="8">
        <v>112110</v>
      </c>
      <c r="I16" t="s">
        <v>24</v>
      </c>
    </row>
    <row r="17" spans="3:9">
      <c r="C17" t="s">
        <v>76</v>
      </c>
      <c r="D17" t="s">
        <v>15</v>
      </c>
      <c r="E17" t="s">
        <v>19</v>
      </c>
      <c r="F17">
        <v>25</v>
      </c>
      <c r="G17" s="4">
        <v>44383</v>
      </c>
      <c r="H17" s="8">
        <v>65700</v>
      </c>
      <c r="I17" t="s">
        <v>16</v>
      </c>
    </row>
    <row r="18" spans="3:9">
      <c r="C18" t="s">
        <v>97</v>
      </c>
      <c r="D18" t="s">
        <v>15</v>
      </c>
      <c r="E18" t="s">
        <v>12</v>
      </c>
      <c r="F18">
        <v>37</v>
      </c>
      <c r="G18" s="4">
        <v>44701</v>
      </c>
      <c r="H18" s="8">
        <v>69070</v>
      </c>
      <c r="I18" t="s">
        <v>16</v>
      </c>
    </row>
    <row r="19" spans="3:9">
      <c r="C19" t="s">
        <v>22</v>
      </c>
      <c r="D19" t="s">
        <v>15</v>
      </c>
      <c r="E19" t="s">
        <v>12</v>
      </c>
      <c r="F19">
        <v>20</v>
      </c>
      <c r="G19" s="4">
        <v>44459</v>
      </c>
      <c r="H19" s="8">
        <v>107700</v>
      </c>
      <c r="I19" t="s">
        <v>16</v>
      </c>
    </row>
    <row r="20" spans="3:9">
      <c r="C20" t="s">
        <v>84</v>
      </c>
      <c r="D20" t="s">
        <v>8</v>
      </c>
      <c r="E20" t="s">
        <v>12</v>
      </c>
      <c r="F20">
        <v>32</v>
      </c>
      <c r="G20" s="4">
        <v>44354</v>
      </c>
      <c r="H20" s="8">
        <v>43840</v>
      </c>
      <c r="I20" t="s">
        <v>13</v>
      </c>
    </row>
    <row r="21" spans="3:9">
      <c r="C21" t="s">
        <v>105</v>
      </c>
      <c r="D21" t="s">
        <v>15</v>
      </c>
      <c r="E21" t="s">
        <v>9</v>
      </c>
      <c r="F21">
        <v>40</v>
      </c>
      <c r="G21" s="4">
        <v>44263</v>
      </c>
      <c r="H21" s="8">
        <v>99750</v>
      </c>
      <c r="I21" t="s">
        <v>16</v>
      </c>
    </row>
    <row r="22" spans="3:9">
      <c r="C22" t="s">
        <v>47</v>
      </c>
      <c r="D22" t="s">
        <v>15</v>
      </c>
      <c r="E22" t="s">
        <v>9</v>
      </c>
      <c r="F22">
        <v>21</v>
      </c>
      <c r="G22" s="4">
        <v>44104</v>
      </c>
      <c r="H22" s="8">
        <v>37920</v>
      </c>
      <c r="I22" t="s">
        <v>16</v>
      </c>
    </row>
    <row r="23" spans="3:9">
      <c r="C23" t="s">
        <v>31</v>
      </c>
      <c r="D23" t="s">
        <v>15</v>
      </c>
      <c r="E23" t="s">
        <v>9</v>
      </c>
      <c r="F23">
        <v>21</v>
      </c>
      <c r="G23" s="4">
        <v>44762</v>
      </c>
      <c r="H23" s="8">
        <v>57090</v>
      </c>
      <c r="I23" t="s">
        <v>16</v>
      </c>
    </row>
    <row r="24" spans="3:9">
      <c r="C24" t="s">
        <v>30</v>
      </c>
      <c r="D24" t="s">
        <v>8</v>
      </c>
      <c r="E24" t="s">
        <v>12</v>
      </c>
      <c r="F24">
        <v>31</v>
      </c>
      <c r="G24" s="4">
        <v>44145</v>
      </c>
      <c r="H24" s="8">
        <v>41980</v>
      </c>
      <c r="I24" t="s">
        <v>16</v>
      </c>
    </row>
    <row r="25" spans="3:9">
      <c r="C25" t="s">
        <v>78</v>
      </c>
      <c r="D25" t="s">
        <v>15</v>
      </c>
      <c r="E25" t="s">
        <v>56</v>
      </c>
      <c r="F25">
        <v>21</v>
      </c>
      <c r="G25" s="4">
        <v>44242</v>
      </c>
      <c r="H25" s="8">
        <v>75880</v>
      </c>
      <c r="I25" t="s">
        <v>16</v>
      </c>
    </row>
    <row r="26" spans="3:9">
      <c r="C26" t="s">
        <v>36</v>
      </c>
      <c r="D26" t="s">
        <v>8</v>
      </c>
      <c r="E26" t="s">
        <v>21</v>
      </c>
      <c r="F26">
        <v>34</v>
      </c>
      <c r="G26" s="4">
        <v>44653</v>
      </c>
      <c r="H26" s="8">
        <v>58940</v>
      </c>
      <c r="I26" t="s">
        <v>16</v>
      </c>
    </row>
    <row r="27" spans="3:9">
      <c r="C27" t="s">
        <v>27</v>
      </c>
      <c r="D27" t="s">
        <v>8</v>
      </c>
      <c r="E27" t="s">
        <v>21</v>
      </c>
      <c r="F27">
        <v>30</v>
      </c>
      <c r="G27" s="4">
        <v>44389</v>
      </c>
      <c r="H27" s="8">
        <v>67910</v>
      </c>
      <c r="I27" t="s">
        <v>24</v>
      </c>
    </row>
    <row r="28" spans="3:9">
      <c r="C28" t="s">
        <v>26</v>
      </c>
      <c r="D28" t="s">
        <v>8</v>
      </c>
      <c r="E28" t="s">
        <v>12</v>
      </c>
      <c r="F28">
        <v>31</v>
      </c>
      <c r="G28" s="4">
        <v>44663</v>
      </c>
      <c r="H28" s="8">
        <v>58100</v>
      </c>
      <c r="I28" t="s">
        <v>16</v>
      </c>
    </row>
    <row r="29" spans="3:9">
      <c r="C29" t="s">
        <v>53</v>
      </c>
      <c r="D29" t="s">
        <v>15</v>
      </c>
      <c r="E29" t="s">
        <v>21</v>
      </c>
      <c r="F29">
        <v>27</v>
      </c>
      <c r="G29" s="4">
        <v>44567</v>
      </c>
      <c r="H29" s="8">
        <v>48980</v>
      </c>
      <c r="I29" t="s">
        <v>16</v>
      </c>
    </row>
    <row r="30" spans="3:9">
      <c r="C30" t="s">
        <v>20</v>
      </c>
      <c r="E30" t="s">
        <v>21</v>
      </c>
      <c r="F30">
        <v>30</v>
      </c>
      <c r="G30" s="4">
        <v>44597</v>
      </c>
      <c r="H30" s="8">
        <v>64000</v>
      </c>
      <c r="I30" t="s">
        <v>16</v>
      </c>
    </row>
    <row r="31" spans="3:9">
      <c r="C31" t="s">
        <v>7</v>
      </c>
      <c r="D31" t="s">
        <v>8</v>
      </c>
      <c r="E31" t="s">
        <v>9</v>
      </c>
      <c r="F31">
        <v>42</v>
      </c>
      <c r="G31" s="4">
        <v>44779</v>
      </c>
      <c r="H31" s="8">
        <v>75000</v>
      </c>
      <c r="I31" t="s">
        <v>10</v>
      </c>
    </row>
    <row r="32" spans="3:9">
      <c r="C32" t="s">
        <v>74</v>
      </c>
      <c r="D32" t="s">
        <v>8</v>
      </c>
      <c r="E32" t="s">
        <v>12</v>
      </c>
      <c r="F32">
        <v>40</v>
      </c>
      <c r="G32" s="4">
        <v>44337</v>
      </c>
      <c r="H32" s="8">
        <v>87620</v>
      </c>
      <c r="I32" t="s">
        <v>16</v>
      </c>
    </row>
    <row r="33" spans="3:9">
      <c r="C33" t="s">
        <v>44</v>
      </c>
      <c r="D33" t="s">
        <v>8</v>
      </c>
      <c r="E33" t="s">
        <v>12</v>
      </c>
      <c r="F33">
        <v>29</v>
      </c>
      <c r="G33" s="4">
        <v>44023</v>
      </c>
      <c r="H33" s="8">
        <v>34980</v>
      </c>
      <c r="I33" t="s">
        <v>16</v>
      </c>
    </row>
    <row r="34" spans="3:9">
      <c r="C34" t="s">
        <v>35</v>
      </c>
      <c r="D34" t="s">
        <v>8</v>
      </c>
      <c r="E34" t="s">
        <v>21</v>
      </c>
      <c r="F34">
        <v>28</v>
      </c>
      <c r="G34" s="4">
        <v>44185</v>
      </c>
      <c r="H34" s="8">
        <v>75970</v>
      </c>
      <c r="I34" t="s">
        <v>16</v>
      </c>
    </row>
    <row r="35" spans="3:9">
      <c r="C35" t="s">
        <v>38</v>
      </c>
      <c r="D35" t="s">
        <v>8</v>
      </c>
      <c r="E35" t="s">
        <v>21</v>
      </c>
      <c r="F35">
        <v>34</v>
      </c>
      <c r="G35" s="4">
        <v>44612</v>
      </c>
      <c r="H35" s="8">
        <v>60130</v>
      </c>
      <c r="I35" t="s">
        <v>16</v>
      </c>
    </row>
    <row r="36" spans="3:9">
      <c r="C36" t="s">
        <v>41</v>
      </c>
      <c r="D36" t="s">
        <v>8</v>
      </c>
      <c r="E36" t="s">
        <v>12</v>
      </c>
      <c r="F36">
        <v>33</v>
      </c>
      <c r="G36" s="4">
        <v>44374</v>
      </c>
      <c r="H36" s="8">
        <v>75480</v>
      </c>
      <c r="I36" t="s">
        <v>42</v>
      </c>
    </row>
    <row r="37" spans="3:9">
      <c r="C37" t="s">
        <v>40</v>
      </c>
      <c r="D37" t="s">
        <v>15</v>
      </c>
      <c r="E37" t="s">
        <v>9</v>
      </c>
      <c r="F37">
        <v>33</v>
      </c>
      <c r="G37" s="4">
        <v>44164</v>
      </c>
      <c r="H37" s="8">
        <v>115920</v>
      </c>
      <c r="I37" t="s">
        <v>16</v>
      </c>
    </row>
    <row r="38" spans="3:9">
      <c r="C38" t="s">
        <v>48</v>
      </c>
      <c r="D38" t="s">
        <v>8</v>
      </c>
      <c r="E38" t="s">
        <v>19</v>
      </c>
      <c r="F38">
        <v>36</v>
      </c>
      <c r="G38" s="4">
        <v>44494</v>
      </c>
      <c r="H38" s="8">
        <v>78540</v>
      </c>
      <c r="I38" t="s">
        <v>16</v>
      </c>
    </row>
    <row r="39" spans="3:9">
      <c r="C39" t="s">
        <v>34</v>
      </c>
      <c r="D39" t="s">
        <v>15</v>
      </c>
      <c r="E39" t="s">
        <v>9</v>
      </c>
      <c r="F39">
        <v>25</v>
      </c>
      <c r="G39" s="4">
        <v>44726</v>
      </c>
      <c r="H39" s="8">
        <v>109190</v>
      </c>
      <c r="I39" t="s">
        <v>13</v>
      </c>
    </row>
    <row r="40" spans="3:9">
      <c r="C40" t="s">
        <v>73</v>
      </c>
      <c r="D40" t="s">
        <v>8</v>
      </c>
      <c r="E40" t="s">
        <v>19</v>
      </c>
      <c r="F40">
        <v>34</v>
      </c>
      <c r="G40" s="4">
        <v>44721</v>
      </c>
      <c r="H40" s="8">
        <v>49630</v>
      </c>
      <c r="I40" t="s">
        <v>24</v>
      </c>
    </row>
    <row r="41" spans="3:9">
      <c r="C41" t="s">
        <v>107</v>
      </c>
      <c r="D41" t="s">
        <v>8</v>
      </c>
      <c r="E41" t="s">
        <v>9</v>
      </c>
      <c r="F41">
        <v>28</v>
      </c>
      <c r="G41" s="4">
        <v>44630</v>
      </c>
      <c r="H41" s="8">
        <v>99970</v>
      </c>
      <c r="I41" t="s">
        <v>16</v>
      </c>
    </row>
    <row r="42" spans="3:9">
      <c r="C42" t="s">
        <v>71</v>
      </c>
      <c r="D42" t="s">
        <v>8</v>
      </c>
      <c r="E42" t="s">
        <v>12</v>
      </c>
      <c r="F42">
        <v>33</v>
      </c>
      <c r="G42" s="4">
        <v>44190</v>
      </c>
      <c r="H42" s="8">
        <v>96140</v>
      </c>
      <c r="I42" t="s">
        <v>16</v>
      </c>
    </row>
    <row r="43" spans="3:9">
      <c r="C43" t="s">
        <v>50</v>
      </c>
      <c r="D43" t="s">
        <v>15</v>
      </c>
      <c r="E43" t="s">
        <v>9</v>
      </c>
      <c r="F43">
        <v>31</v>
      </c>
      <c r="G43" s="4">
        <v>44724</v>
      </c>
      <c r="H43" s="8">
        <v>103550</v>
      </c>
      <c r="I43" t="s">
        <v>16</v>
      </c>
    </row>
    <row r="44" spans="3:9">
      <c r="C44" t="s">
        <v>14</v>
      </c>
      <c r="D44" t="s">
        <v>15</v>
      </c>
      <c r="E44" t="s">
        <v>12</v>
      </c>
      <c r="F44">
        <v>31</v>
      </c>
      <c r="G44" s="4">
        <v>44511</v>
      </c>
      <c r="H44" s="8">
        <v>48950</v>
      </c>
      <c r="I44" t="s">
        <v>16</v>
      </c>
    </row>
    <row r="45" spans="3:9">
      <c r="C45" t="s">
        <v>63</v>
      </c>
      <c r="D45" t="s">
        <v>15</v>
      </c>
      <c r="E45" t="s">
        <v>21</v>
      </c>
      <c r="F45">
        <v>24</v>
      </c>
      <c r="G45" s="4">
        <v>44436</v>
      </c>
      <c r="H45" s="8">
        <v>52610</v>
      </c>
      <c r="I45" t="s">
        <v>24</v>
      </c>
    </row>
    <row r="46" spans="3:9">
      <c r="C46" t="s">
        <v>72</v>
      </c>
      <c r="D46" t="s">
        <v>8</v>
      </c>
      <c r="E46" t="s">
        <v>9</v>
      </c>
      <c r="F46">
        <v>36</v>
      </c>
      <c r="G46" s="4">
        <v>44529</v>
      </c>
      <c r="H46" s="8">
        <v>78390</v>
      </c>
      <c r="I46" t="s">
        <v>16</v>
      </c>
    </row>
    <row r="47" spans="3:9">
      <c r="C47" t="s">
        <v>88</v>
      </c>
      <c r="D47" t="s">
        <v>8</v>
      </c>
      <c r="E47" t="s">
        <v>21</v>
      </c>
      <c r="F47">
        <v>33</v>
      </c>
      <c r="G47" s="4">
        <v>44809</v>
      </c>
      <c r="H47" s="8">
        <v>86570</v>
      </c>
      <c r="I47" t="s">
        <v>16</v>
      </c>
    </row>
    <row r="48" spans="3:9">
      <c r="C48" t="s">
        <v>92</v>
      </c>
      <c r="D48" t="s">
        <v>8</v>
      </c>
      <c r="E48" t="s">
        <v>12</v>
      </c>
      <c r="F48">
        <v>27</v>
      </c>
      <c r="G48" s="4">
        <v>44686</v>
      </c>
      <c r="H48" s="8">
        <v>83750</v>
      </c>
      <c r="I48" t="s">
        <v>16</v>
      </c>
    </row>
    <row r="49" spans="3:9">
      <c r="C49" t="s">
        <v>102</v>
      </c>
      <c r="D49" t="s">
        <v>8</v>
      </c>
      <c r="E49" t="s">
        <v>21</v>
      </c>
      <c r="F49">
        <v>34</v>
      </c>
      <c r="G49" s="4">
        <v>44445</v>
      </c>
      <c r="H49" s="8">
        <v>92450</v>
      </c>
      <c r="I49" t="s">
        <v>16</v>
      </c>
    </row>
    <row r="50" spans="3:9">
      <c r="C50" t="s">
        <v>64</v>
      </c>
      <c r="D50" t="s">
        <v>15</v>
      </c>
      <c r="E50" t="s">
        <v>12</v>
      </c>
      <c r="F50">
        <v>20</v>
      </c>
      <c r="G50" s="4">
        <v>44183</v>
      </c>
      <c r="H50" s="8">
        <v>112650</v>
      </c>
      <c r="I50" t="s">
        <v>16</v>
      </c>
    </row>
    <row r="51" spans="3:9">
      <c r="C51" t="s">
        <v>104</v>
      </c>
      <c r="D51" t="s">
        <v>15</v>
      </c>
      <c r="E51" t="s">
        <v>9</v>
      </c>
      <c r="F51">
        <v>20</v>
      </c>
      <c r="G51" s="4">
        <v>44744</v>
      </c>
      <c r="H51" s="8">
        <v>79570</v>
      </c>
      <c r="I51" t="s">
        <v>16</v>
      </c>
    </row>
    <row r="52" spans="3:9">
      <c r="C52" t="s">
        <v>91</v>
      </c>
      <c r="D52" t="s">
        <v>8</v>
      </c>
      <c r="E52" t="s">
        <v>19</v>
      </c>
      <c r="F52">
        <v>20</v>
      </c>
      <c r="G52" s="4">
        <v>44537</v>
      </c>
      <c r="H52" s="8">
        <v>68900</v>
      </c>
      <c r="I52" t="s">
        <v>24</v>
      </c>
    </row>
    <row r="53" spans="3:9">
      <c r="C53" t="s">
        <v>39</v>
      </c>
      <c r="D53" t="s">
        <v>8</v>
      </c>
      <c r="E53" t="s">
        <v>12</v>
      </c>
      <c r="F53">
        <v>25</v>
      </c>
      <c r="G53" s="4">
        <v>44694</v>
      </c>
      <c r="H53" s="8">
        <v>80700</v>
      </c>
      <c r="I53" t="s">
        <v>13</v>
      </c>
    </row>
    <row r="54" spans="3:9">
      <c r="C54" t="s">
        <v>100</v>
      </c>
      <c r="D54" t="s">
        <v>15</v>
      </c>
      <c r="E54" t="s">
        <v>9</v>
      </c>
      <c r="F54">
        <v>19</v>
      </c>
      <c r="G54" s="4">
        <v>44277</v>
      </c>
      <c r="H54" s="8">
        <v>58960</v>
      </c>
      <c r="I54" t="s">
        <v>16</v>
      </c>
    </row>
    <row r="55" spans="3:9">
      <c r="C55" t="s">
        <v>106</v>
      </c>
      <c r="D55" t="s">
        <v>15</v>
      </c>
      <c r="E55" t="s">
        <v>12</v>
      </c>
      <c r="F55">
        <v>36</v>
      </c>
      <c r="G55" s="4">
        <v>44019</v>
      </c>
      <c r="H55" s="8">
        <v>118840</v>
      </c>
      <c r="I55" t="s">
        <v>16</v>
      </c>
    </row>
    <row r="56" spans="3:9">
      <c r="C56" t="s">
        <v>29</v>
      </c>
      <c r="D56" t="s">
        <v>15</v>
      </c>
      <c r="E56" t="s">
        <v>21</v>
      </c>
      <c r="F56">
        <v>28</v>
      </c>
      <c r="G56" s="4">
        <v>44041</v>
      </c>
      <c r="H56" s="8">
        <v>48170</v>
      </c>
      <c r="I56" t="s">
        <v>13</v>
      </c>
    </row>
    <row r="57" spans="3:9">
      <c r="C57" t="s">
        <v>108</v>
      </c>
      <c r="D57" t="s">
        <v>8</v>
      </c>
      <c r="E57" t="s">
        <v>56</v>
      </c>
      <c r="F57">
        <v>32</v>
      </c>
      <c r="G57" s="4">
        <v>44400</v>
      </c>
      <c r="H57" s="8">
        <v>45510</v>
      </c>
      <c r="I57" t="s">
        <v>16</v>
      </c>
    </row>
    <row r="58" spans="3:9">
      <c r="C58" t="s">
        <v>64</v>
      </c>
      <c r="D58" t="s">
        <v>15</v>
      </c>
      <c r="E58" t="s">
        <v>9</v>
      </c>
      <c r="F58">
        <v>34</v>
      </c>
      <c r="G58" s="4">
        <v>44703</v>
      </c>
      <c r="H58" s="8">
        <v>112650</v>
      </c>
      <c r="I58" t="s">
        <v>16</v>
      </c>
    </row>
    <row r="59" spans="3:9">
      <c r="C59" t="s">
        <v>83</v>
      </c>
      <c r="D59" t="s">
        <v>8</v>
      </c>
      <c r="E59" t="s">
        <v>9</v>
      </c>
      <c r="F59">
        <v>36</v>
      </c>
      <c r="G59" s="4">
        <v>44085</v>
      </c>
      <c r="H59" s="8">
        <v>114890</v>
      </c>
      <c r="I59" t="s">
        <v>16</v>
      </c>
    </row>
    <row r="60" spans="3:9">
      <c r="C60" t="s">
        <v>67</v>
      </c>
      <c r="D60" t="s">
        <v>15</v>
      </c>
      <c r="E60" t="s">
        <v>12</v>
      </c>
      <c r="F60">
        <v>30</v>
      </c>
      <c r="G60" s="4">
        <v>44850</v>
      </c>
      <c r="H60" s="8">
        <v>69710</v>
      </c>
      <c r="I60" t="s">
        <v>16</v>
      </c>
    </row>
    <row r="61" spans="3:9">
      <c r="C61" t="s">
        <v>94</v>
      </c>
      <c r="D61" t="s">
        <v>15</v>
      </c>
      <c r="E61" t="s">
        <v>21</v>
      </c>
      <c r="F61">
        <v>36</v>
      </c>
      <c r="G61" s="4">
        <v>44333</v>
      </c>
      <c r="H61" s="8">
        <v>71380</v>
      </c>
      <c r="I61" t="s">
        <v>16</v>
      </c>
    </row>
    <row r="62" spans="3:9">
      <c r="C62" t="s">
        <v>33</v>
      </c>
      <c r="D62" t="s">
        <v>8</v>
      </c>
      <c r="E62" t="s">
        <v>19</v>
      </c>
      <c r="F62">
        <v>38</v>
      </c>
      <c r="G62" s="4">
        <v>44377</v>
      </c>
      <c r="H62" s="8">
        <v>109160</v>
      </c>
      <c r="I62" t="s">
        <v>10</v>
      </c>
    </row>
    <row r="63" spans="3:9">
      <c r="C63" t="s">
        <v>98</v>
      </c>
      <c r="D63" t="s">
        <v>15</v>
      </c>
      <c r="E63" t="s">
        <v>9</v>
      </c>
      <c r="F63">
        <v>27</v>
      </c>
      <c r="G63" s="4">
        <v>44609</v>
      </c>
      <c r="H63" s="8">
        <v>113280</v>
      </c>
      <c r="I63" t="s">
        <v>42</v>
      </c>
    </row>
    <row r="64" spans="3:9">
      <c r="C64" t="s">
        <v>25</v>
      </c>
      <c r="D64" t="s">
        <v>15</v>
      </c>
      <c r="E64" t="s">
        <v>12</v>
      </c>
      <c r="F64">
        <v>30</v>
      </c>
      <c r="G64" s="4">
        <v>44273</v>
      </c>
      <c r="H64" s="8">
        <v>69120</v>
      </c>
      <c r="I64" t="s">
        <v>16</v>
      </c>
    </row>
    <row r="65" spans="3:9">
      <c r="C65" t="s">
        <v>55</v>
      </c>
      <c r="D65" t="s">
        <v>8</v>
      </c>
      <c r="E65" t="s">
        <v>56</v>
      </c>
      <c r="F65">
        <v>37</v>
      </c>
      <c r="G65" s="4">
        <v>44451</v>
      </c>
      <c r="H65" s="8">
        <v>118100</v>
      </c>
      <c r="I65" t="s">
        <v>16</v>
      </c>
    </row>
    <row r="66" spans="3:9">
      <c r="C66" t="s">
        <v>62</v>
      </c>
      <c r="D66" t="s">
        <v>8</v>
      </c>
      <c r="E66" t="s">
        <v>9</v>
      </c>
      <c r="F66">
        <v>22</v>
      </c>
      <c r="G66" s="4">
        <v>44450</v>
      </c>
      <c r="H66" s="8">
        <v>76900</v>
      </c>
      <c r="I66" t="s">
        <v>13</v>
      </c>
    </row>
    <row r="67" spans="3:9">
      <c r="C67" t="s">
        <v>17</v>
      </c>
      <c r="D67" t="s">
        <v>8</v>
      </c>
      <c r="E67" t="s">
        <v>12</v>
      </c>
      <c r="F67">
        <v>43</v>
      </c>
      <c r="G67" s="4">
        <v>45045</v>
      </c>
      <c r="H67" s="8">
        <v>114870</v>
      </c>
      <c r="I67" t="s">
        <v>16</v>
      </c>
    </row>
    <row r="68" spans="3:9">
      <c r="C68" t="s">
        <v>52</v>
      </c>
      <c r="E68" t="s">
        <v>12</v>
      </c>
      <c r="F68">
        <v>32</v>
      </c>
      <c r="G68" s="4">
        <v>44774</v>
      </c>
      <c r="H68" s="8">
        <v>91310</v>
      </c>
      <c r="I68" t="s">
        <v>16</v>
      </c>
    </row>
    <row r="69" spans="3:9">
      <c r="C69" t="s">
        <v>43</v>
      </c>
      <c r="D69" t="s">
        <v>8</v>
      </c>
      <c r="E69" t="s">
        <v>9</v>
      </c>
      <c r="F69">
        <v>28</v>
      </c>
      <c r="G69" s="4">
        <v>44486</v>
      </c>
      <c r="H69" s="8">
        <v>104770</v>
      </c>
      <c r="I69" t="s">
        <v>16</v>
      </c>
    </row>
    <row r="70" spans="3:9">
      <c r="C70" t="s">
        <v>89</v>
      </c>
      <c r="D70" t="s">
        <v>15</v>
      </c>
      <c r="E70" t="s">
        <v>19</v>
      </c>
      <c r="F70">
        <v>27</v>
      </c>
      <c r="G70" s="4">
        <v>44134</v>
      </c>
      <c r="H70" s="8">
        <v>54970</v>
      </c>
      <c r="I70" t="s">
        <v>16</v>
      </c>
    </row>
    <row r="71" spans="3:9">
      <c r="C71" t="s">
        <v>11</v>
      </c>
      <c r="E71" t="s">
        <v>12</v>
      </c>
      <c r="F71">
        <v>26</v>
      </c>
      <c r="G71" s="4">
        <v>44271</v>
      </c>
      <c r="H71" s="8">
        <v>90700</v>
      </c>
      <c r="I71" t="s">
        <v>13</v>
      </c>
    </row>
    <row r="72" spans="3:9">
      <c r="C72" t="s">
        <v>109</v>
      </c>
      <c r="D72" t="s">
        <v>8</v>
      </c>
      <c r="E72" t="s">
        <v>19</v>
      </c>
      <c r="F72">
        <v>38</v>
      </c>
      <c r="G72" s="4">
        <v>44329</v>
      </c>
      <c r="H72" s="8">
        <v>56870</v>
      </c>
      <c r="I72" t="s">
        <v>13</v>
      </c>
    </row>
    <row r="73" spans="3:9">
      <c r="C73" t="s">
        <v>77</v>
      </c>
      <c r="D73" t="s">
        <v>8</v>
      </c>
      <c r="E73" t="s">
        <v>19</v>
      </c>
      <c r="F73">
        <v>25</v>
      </c>
      <c r="G73" s="4">
        <v>44205</v>
      </c>
      <c r="H73" s="8">
        <v>92700</v>
      </c>
      <c r="I73" t="s">
        <v>16</v>
      </c>
    </row>
    <row r="74" spans="3:9">
      <c r="C74" t="s">
        <v>32</v>
      </c>
      <c r="D74" t="s">
        <v>8</v>
      </c>
      <c r="E74" t="s">
        <v>21</v>
      </c>
      <c r="F74">
        <v>21</v>
      </c>
      <c r="G74" s="4">
        <v>44317</v>
      </c>
      <c r="H74" s="8">
        <v>65920</v>
      </c>
      <c r="I74" t="s">
        <v>16</v>
      </c>
    </row>
    <row r="75" spans="3:9">
      <c r="C75" t="s">
        <v>59</v>
      </c>
      <c r="D75" t="s">
        <v>15</v>
      </c>
      <c r="E75" t="s">
        <v>9</v>
      </c>
      <c r="F75">
        <v>26</v>
      </c>
      <c r="G75" s="4">
        <v>44225</v>
      </c>
      <c r="H75" s="8">
        <v>47360</v>
      </c>
      <c r="I75" t="s">
        <v>16</v>
      </c>
    </row>
    <row r="76" spans="3:9">
      <c r="C76" t="s">
        <v>37</v>
      </c>
      <c r="D76" t="s">
        <v>15</v>
      </c>
      <c r="E76" t="s">
        <v>9</v>
      </c>
      <c r="F76">
        <v>30</v>
      </c>
      <c r="G76" s="4">
        <v>44666</v>
      </c>
      <c r="H76" s="8">
        <v>60570</v>
      </c>
      <c r="I76" t="s">
        <v>16</v>
      </c>
    </row>
    <row r="77" spans="3:9">
      <c r="C77" t="s">
        <v>96</v>
      </c>
      <c r="D77" t="s">
        <v>8</v>
      </c>
      <c r="E77" t="s">
        <v>9</v>
      </c>
      <c r="F77">
        <v>28</v>
      </c>
      <c r="G77" s="4">
        <v>44649</v>
      </c>
      <c r="H77" s="8">
        <v>104120</v>
      </c>
      <c r="I77" t="s">
        <v>16</v>
      </c>
    </row>
    <row r="78" spans="3:9">
      <c r="C78" t="s">
        <v>23</v>
      </c>
      <c r="D78" t="s">
        <v>15</v>
      </c>
      <c r="E78" t="s">
        <v>12</v>
      </c>
      <c r="F78">
        <v>37</v>
      </c>
      <c r="G78" s="4">
        <v>44338</v>
      </c>
      <c r="H78" s="8">
        <v>88050</v>
      </c>
      <c r="I78" t="s">
        <v>24</v>
      </c>
    </row>
    <row r="79" spans="3:9">
      <c r="C79" t="s">
        <v>103</v>
      </c>
      <c r="D79" t="s">
        <v>15</v>
      </c>
      <c r="E79" t="s">
        <v>12</v>
      </c>
      <c r="F79">
        <v>24</v>
      </c>
      <c r="G79" s="4">
        <v>44686</v>
      </c>
      <c r="H79" s="8">
        <v>100420</v>
      </c>
      <c r="I79" t="s">
        <v>16</v>
      </c>
    </row>
    <row r="80" spans="3:9">
      <c r="C80" t="s">
        <v>54</v>
      </c>
      <c r="D80" t="s">
        <v>8</v>
      </c>
      <c r="E80" t="s">
        <v>9</v>
      </c>
      <c r="F80">
        <v>30</v>
      </c>
      <c r="G80" s="4">
        <v>44850</v>
      </c>
      <c r="H80" s="8">
        <v>114180</v>
      </c>
      <c r="I80" t="s">
        <v>16</v>
      </c>
    </row>
    <row r="81" spans="3:9">
      <c r="C81" t="s">
        <v>86</v>
      </c>
      <c r="D81" t="s">
        <v>8</v>
      </c>
      <c r="E81" t="s">
        <v>12</v>
      </c>
      <c r="F81">
        <v>21</v>
      </c>
      <c r="G81" s="4">
        <v>44678</v>
      </c>
      <c r="H81" s="8">
        <v>33920</v>
      </c>
      <c r="I81" t="s">
        <v>16</v>
      </c>
    </row>
    <row r="82" spans="3:9">
      <c r="C82" t="s">
        <v>69</v>
      </c>
      <c r="D82" t="s">
        <v>15</v>
      </c>
      <c r="E82" t="s">
        <v>9</v>
      </c>
      <c r="F82">
        <v>23</v>
      </c>
      <c r="G82" s="4">
        <v>44440</v>
      </c>
      <c r="H82" s="8">
        <v>106460</v>
      </c>
      <c r="I82" t="s">
        <v>16</v>
      </c>
    </row>
    <row r="83" spans="3:9">
      <c r="C83" t="s">
        <v>57</v>
      </c>
      <c r="D83" t="s">
        <v>15</v>
      </c>
      <c r="E83" t="s">
        <v>9</v>
      </c>
      <c r="F83">
        <v>35</v>
      </c>
      <c r="G83" s="4">
        <v>44727</v>
      </c>
      <c r="H83" s="8">
        <v>40400</v>
      </c>
      <c r="I83" t="s">
        <v>16</v>
      </c>
    </row>
    <row r="84" spans="3:9">
      <c r="C84" t="s">
        <v>68</v>
      </c>
      <c r="D84" t="s">
        <v>15</v>
      </c>
      <c r="E84" t="s">
        <v>21</v>
      </c>
      <c r="F84">
        <v>27</v>
      </c>
      <c r="G84" s="4">
        <v>44236</v>
      </c>
      <c r="H84" s="8">
        <v>91650</v>
      </c>
      <c r="I84" t="s">
        <v>13</v>
      </c>
    </row>
    <row r="85" spans="3:9">
      <c r="C85" t="s">
        <v>99</v>
      </c>
      <c r="D85" t="s">
        <v>15</v>
      </c>
      <c r="E85" t="s">
        <v>19</v>
      </c>
      <c r="F85">
        <v>43</v>
      </c>
      <c r="G85" s="4">
        <v>44620</v>
      </c>
      <c r="H85" s="8">
        <v>36040</v>
      </c>
      <c r="I85" t="s">
        <v>16</v>
      </c>
    </row>
    <row r="86" spans="3:9">
      <c r="C86" t="s">
        <v>101</v>
      </c>
      <c r="D86" t="s">
        <v>8</v>
      </c>
      <c r="E86" t="s">
        <v>12</v>
      </c>
      <c r="F86">
        <v>40</v>
      </c>
      <c r="G86" s="4">
        <v>44381</v>
      </c>
      <c r="H86" s="8">
        <v>104410</v>
      </c>
      <c r="I86" t="s">
        <v>16</v>
      </c>
    </row>
    <row r="87" spans="3:9">
      <c r="C87" t="s">
        <v>85</v>
      </c>
      <c r="D87" t="s">
        <v>15</v>
      </c>
      <c r="E87" t="s">
        <v>21</v>
      </c>
      <c r="F87">
        <v>30</v>
      </c>
      <c r="G87" s="4">
        <v>44606</v>
      </c>
      <c r="H87" s="8">
        <v>96800</v>
      </c>
      <c r="I87" t="s">
        <v>16</v>
      </c>
    </row>
    <row r="88" spans="3:9">
      <c r="C88" t="s">
        <v>28</v>
      </c>
      <c r="D88" t="s">
        <v>8</v>
      </c>
      <c r="E88" t="s">
        <v>21</v>
      </c>
      <c r="F88">
        <v>34</v>
      </c>
      <c r="G88" s="4">
        <v>44459</v>
      </c>
      <c r="H88" s="8">
        <v>85000</v>
      </c>
      <c r="I88" t="s">
        <v>16</v>
      </c>
    </row>
    <row r="89" spans="3:9">
      <c r="C89" t="s">
        <v>80</v>
      </c>
      <c r="D89" t="s">
        <v>15</v>
      </c>
      <c r="E89" t="s">
        <v>19</v>
      </c>
      <c r="F89">
        <v>28</v>
      </c>
      <c r="G89" s="4">
        <v>44820</v>
      </c>
      <c r="H89" s="8">
        <v>43510</v>
      </c>
      <c r="I89" t="s">
        <v>42</v>
      </c>
    </row>
    <row r="90" spans="3:9">
      <c r="C90" t="s">
        <v>79</v>
      </c>
      <c r="D90" t="s">
        <v>15</v>
      </c>
      <c r="E90" t="s">
        <v>21</v>
      </c>
      <c r="F90">
        <v>33</v>
      </c>
      <c r="G90" s="4">
        <v>44243</v>
      </c>
      <c r="H90" s="8">
        <v>59430</v>
      </c>
      <c r="I90" t="s">
        <v>16</v>
      </c>
    </row>
    <row r="91" spans="3:9">
      <c r="C91" t="s">
        <v>93</v>
      </c>
      <c r="D91" t="s">
        <v>8</v>
      </c>
      <c r="E91" t="s">
        <v>21</v>
      </c>
      <c r="F91">
        <v>33</v>
      </c>
      <c r="G91" s="4">
        <v>44067</v>
      </c>
      <c r="H91" s="8">
        <v>65360</v>
      </c>
      <c r="I91" t="s">
        <v>16</v>
      </c>
    </row>
    <row r="92" spans="3:9">
      <c r="C92" t="s">
        <v>66</v>
      </c>
      <c r="D92" t="s">
        <v>8</v>
      </c>
      <c r="E92" t="s">
        <v>9</v>
      </c>
      <c r="F92">
        <v>32</v>
      </c>
      <c r="G92" s="4">
        <v>44611</v>
      </c>
      <c r="H92" s="8">
        <v>41570</v>
      </c>
      <c r="I92" t="s">
        <v>16</v>
      </c>
    </row>
    <row r="93" spans="3:9">
      <c r="C93" t="s">
        <v>95</v>
      </c>
      <c r="D93" t="s">
        <v>8</v>
      </c>
      <c r="E93" t="s">
        <v>12</v>
      </c>
      <c r="F93">
        <v>33</v>
      </c>
      <c r="G93" s="4">
        <v>44312</v>
      </c>
      <c r="H93" s="8">
        <v>75280</v>
      </c>
      <c r="I93" t="s">
        <v>16</v>
      </c>
    </row>
    <row r="94" spans="3:9">
      <c r="C94" t="s">
        <v>18</v>
      </c>
      <c r="D94" t="s">
        <v>15</v>
      </c>
      <c r="E94" t="s">
        <v>19</v>
      </c>
      <c r="F94">
        <v>33</v>
      </c>
      <c r="G94" s="4">
        <v>44385</v>
      </c>
      <c r="H94" s="8">
        <v>74550</v>
      </c>
      <c r="I94" t="s">
        <v>16</v>
      </c>
    </row>
    <row r="95" spans="3:9">
      <c r="C95" t="s">
        <v>45</v>
      </c>
      <c r="D95" t="s">
        <v>15</v>
      </c>
      <c r="E95" t="s">
        <v>9</v>
      </c>
      <c r="F95">
        <v>30</v>
      </c>
      <c r="G95" s="4">
        <v>44701</v>
      </c>
      <c r="H95" s="8">
        <v>67950</v>
      </c>
      <c r="I95" t="s">
        <v>16</v>
      </c>
    </row>
    <row r="96" spans="3:9">
      <c r="C96" t="s">
        <v>90</v>
      </c>
      <c r="D96" t="s">
        <v>15</v>
      </c>
      <c r="E96" t="s">
        <v>21</v>
      </c>
      <c r="F96">
        <v>42</v>
      </c>
      <c r="G96" s="4">
        <v>44731</v>
      </c>
      <c r="H96" s="8">
        <v>70270</v>
      </c>
      <c r="I96" t="s">
        <v>24</v>
      </c>
    </row>
    <row r="97" spans="3:9">
      <c r="C97" t="s">
        <v>46</v>
      </c>
      <c r="D97" t="s">
        <v>15</v>
      </c>
      <c r="E97" t="s">
        <v>9</v>
      </c>
      <c r="F97">
        <v>26</v>
      </c>
      <c r="G97" s="4">
        <v>44411</v>
      </c>
      <c r="H97" s="8">
        <v>53540</v>
      </c>
      <c r="I97" t="s">
        <v>16</v>
      </c>
    </row>
    <row r="98" spans="3:9">
      <c r="C98" t="s">
        <v>58</v>
      </c>
      <c r="D98" t="s">
        <v>15</v>
      </c>
      <c r="E98" t="s">
        <v>19</v>
      </c>
      <c r="F98">
        <v>22</v>
      </c>
      <c r="G98" s="4">
        <v>44446</v>
      </c>
      <c r="H98" s="8">
        <v>112780</v>
      </c>
      <c r="I98" t="s">
        <v>13</v>
      </c>
    </row>
    <row r="99" spans="3:9">
      <c r="C99" t="s">
        <v>70</v>
      </c>
      <c r="D99" t="s">
        <v>15</v>
      </c>
      <c r="E99" t="s">
        <v>9</v>
      </c>
      <c r="F99">
        <v>46</v>
      </c>
      <c r="G99" s="4">
        <v>44758</v>
      </c>
      <c r="H99" s="8">
        <v>70610</v>
      </c>
      <c r="I99" t="s">
        <v>16</v>
      </c>
    </row>
    <row r="100" spans="3:9">
      <c r="C100" t="s">
        <v>75</v>
      </c>
      <c r="D100" t="s">
        <v>8</v>
      </c>
      <c r="E100" t="s">
        <v>19</v>
      </c>
      <c r="F100">
        <v>28</v>
      </c>
      <c r="G100" s="4">
        <v>44357</v>
      </c>
      <c r="H100" s="8">
        <v>53240</v>
      </c>
      <c r="I100" t="s">
        <v>16</v>
      </c>
    </row>
    <row r="101" spans="3:9">
      <c r="C101" t="s">
        <v>49</v>
      </c>
      <c r="E101" t="s">
        <v>21</v>
      </c>
      <c r="F101">
        <v>37</v>
      </c>
      <c r="G101" s="4">
        <v>44146</v>
      </c>
      <c r="H101" s="8">
        <v>115440</v>
      </c>
      <c r="I101" t="s">
        <v>24</v>
      </c>
    </row>
    <row r="102" spans="3:9">
      <c r="C102" t="s">
        <v>65</v>
      </c>
      <c r="D102" t="s">
        <v>15</v>
      </c>
      <c r="E102" t="s">
        <v>19</v>
      </c>
      <c r="F102">
        <v>32</v>
      </c>
      <c r="G102" s="4">
        <v>44465</v>
      </c>
      <c r="H102" s="8">
        <v>53540</v>
      </c>
      <c r="I102" t="s">
        <v>16</v>
      </c>
    </row>
    <row r="103" spans="3:9">
      <c r="C103" t="s">
        <v>81</v>
      </c>
      <c r="D103" t="s">
        <v>8</v>
      </c>
      <c r="E103" t="s">
        <v>9</v>
      </c>
      <c r="F103">
        <v>30</v>
      </c>
      <c r="G103" s="4">
        <v>44861</v>
      </c>
      <c r="H103" s="8">
        <v>112570</v>
      </c>
      <c r="I103" t="s">
        <v>16</v>
      </c>
    </row>
    <row r="104" spans="3:9">
      <c r="C104" t="s">
        <v>51</v>
      </c>
      <c r="D104" t="s">
        <v>15</v>
      </c>
      <c r="E104" t="s">
        <v>9</v>
      </c>
      <c r="F104">
        <v>33</v>
      </c>
      <c r="G104" s="4">
        <v>44701</v>
      </c>
      <c r="H104" s="8">
        <v>48530</v>
      </c>
      <c r="I104" t="s">
        <v>13</v>
      </c>
    </row>
    <row r="105" spans="3:9">
      <c r="C105" t="s">
        <v>61</v>
      </c>
      <c r="D105" t="s">
        <v>8</v>
      </c>
      <c r="E105" t="s">
        <v>12</v>
      </c>
      <c r="F105">
        <v>24</v>
      </c>
      <c r="G105" s="4">
        <v>44148</v>
      </c>
      <c r="H105" s="8">
        <v>62780</v>
      </c>
      <c r="I105" t="s">
        <v>16</v>
      </c>
    </row>
    <row r="106" spans="3:9">
      <c r="C106" t="s">
        <v>203</v>
      </c>
      <c r="F106">
        <f>SUBTOTAL(101,newzeland[Age])</f>
        <v>30.52</v>
      </c>
      <c r="G106">
        <f>SUBTOTAL(101,newzeland[Date Joined])</f>
        <v>44466.61</v>
      </c>
      <c r="H106" s="8">
        <f>SUBTOTAL(101,newzeland[Salary])</f>
        <v>77472.100000000006</v>
      </c>
      <c r="I106">
        <f>SUBTOTAL(103,newzeland[Rating])</f>
        <v>100</v>
      </c>
    </row>
  </sheetData>
  <conditionalFormatting sqref="C6:C105">
    <cfRule type="duplicateValues" dxfId="60" priority="1"/>
  </conditionalFormatting>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A1:G94"/>
  <sheetViews>
    <sheetView topLeftCell="A85" workbookViewId="0">
      <selection activeCell="E87" sqref="E87"/>
    </sheetView>
  </sheetViews>
  <sheetFormatPr defaultRowHeight="15"/>
  <cols>
    <col min="1" max="1" width="30" bestFit="1" customWidth="1"/>
    <col min="2" max="2" width="12.140625" bestFit="1" customWidth="1"/>
    <col min="3" max="3" width="9.42578125" customWidth="1"/>
    <col min="4" max="4" width="14.28515625" bestFit="1" customWidth="1"/>
    <col min="5" max="5" width="16" bestFit="1" customWidth="1"/>
    <col min="6" max="6" width="16.28515625" bestFit="1" customWidth="1"/>
    <col min="7" max="7" width="11.85546875" bestFit="1" customWidth="1"/>
  </cols>
  <sheetData>
    <row r="1" spans="1:7">
      <c r="A1" s="6" t="s">
        <v>0</v>
      </c>
      <c r="B1" s="6" t="s">
        <v>1</v>
      </c>
      <c r="C1" s="6" t="s">
        <v>3</v>
      </c>
      <c r="D1" s="6" t="s">
        <v>6</v>
      </c>
      <c r="E1" s="6" t="s">
        <v>4</v>
      </c>
      <c r="F1" s="6" t="s">
        <v>2</v>
      </c>
      <c r="G1" s="6" t="s">
        <v>5</v>
      </c>
    </row>
    <row r="2" spans="1:7">
      <c r="A2" s="6" t="s">
        <v>156</v>
      </c>
      <c r="B2" s="6" t="s">
        <v>15</v>
      </c>
      <c r="C2" s="6">
        <v>20</v>
      </c>
      <c r="D2" s="6" t="s">
        <v>16</v>
      </c>
      <c r="E2" s="7">
        <v>44122</v>
      </c>
      <c r="F2" s="6" t="s">
        <v>12</v>
      </c>
      <c r="G2" s="9">
        <v>112650</v>
      </c>
    </row>
    <row r="3" spans="1:7">
      <c r="A3" s="6" t="s">
        <v>176</v>
      </c>
      <c r="B3" s="6" t="s">
        <v>8</v>
      </c>
      <c r="C3" s="6">
        <v>32</v>
      </c>
      <c r="D3" s="6" t="s">
        <v>13</v>
      </c>
      <c r="E3" s="7">
        <v>44293</v>
      </c>
      <c r="F3" s="6" t="s">
        <v>12</v>
      </c>
      <c r="G3" s="9">
        <v>43840</v>
      </c>
    </row>
    <row r="4" spans="1:7">
      <c r="A4" s="6" t="s">
        <v>143</v>
      </c>
      <c r="B4" s="6" t="s">
        <v>15</v>
      </c>
      <c r="C4" s="6">
        <v>31</v>
      </c>
      <c r="D4" s="6" t="s">
        <v>16</v>
      </c>
      <c r="E4" s="7">
        <v>44663</v>
      </c>
      <c r="F4" s="6" t="s">
        <v>9</v>
      </c>
      <c r="G4" s="9">
        <v>103550</v>
      </c>
    </row>
    <row r="5" spans="1:7">
      <c r="A5" s="6" t="s">
        <v>201</v>
      </c>
      <c r="B5" s="6" t="s">
        <v>8</v>
      </c>
      <c r="C5" s="6">
        <v>32</v>
      </c>
      <c r="D5" s="6" t="s">
        <v>16</v>
      </c>
      <c r="E5" s="7">
        <v>44339</v>
      </c>
      <c r="F5" s="6" t="s">
        <v>56</v>
      </c>
      <c r="G5" s="9">
        <v>45510</v>
      </c>
    </row>
    <row r="6" spans="1:7">
      <c r="A6" s="6" t="s">
        <v>142</v>
      </c>
      <c r="B6" s="6"/>
      <c r="C6" s="6">
        <v>37</v>
      </c>
      <c r="D6" s="6" t="s">
        <v>24</v>
      </c>
      <c r="E6" s="7">
        <v>44085</v>
      </c>
      <c r="F6" s="6" t="s">
        <v>21</v>
      </c>
      <c r="G6" s="9">
        <v>115440</v>
      </c>
    </row>
    <row r="7" spans="1:7">
      <c r="A7" s="6" t="s">
        <v>202</v>
      </c>
      <c r="B7" s="6" t="s">
        <v>8</v>
      </c>
      <c r="C7" s="6">
        <v>38</v>
      </c>
      <c r="D7" s="6" t="s">
        <v>13</v>
      </c>
      <c r="E7" s="7">
        <v>44268</v>
      </c>
      <c r="F7" s="6" t="s">
        <v>19</v>
      </c>
      <c r="G7" s="9">
        <v>56870</v>
      </c>
    </row>
    <row r="8" spans="1:7">
      <c r="A8" s="6" t="s">
        <v>169</v>
      </c>
      <c r="B8" s="6" t="s">
        <v>8</v>
      </c>
      <c r="C8" s="6">
        <v>25</v>
      </c>
      <c r="D8" s="6" t="s">
        <v>16</v>
      </c>
      <c r="E8" s="7">
        <v>44144</v>
      </c>
      <c r="F8" s="6" t="s">
        <v>19</v>
      </c>
      <c r="G8" s="9">
        <v>92700</v>
      </c>
    </row>
    <row r="9" spans="1:7">
      <c r="A9" s="6" t="s">
        <v>145</v>
      </c>
      <c r="B9" s="6"/>
      <c r="C9" s="6">
        <v>32</v>
      </c>
      <c r="D9" s="6" t="s">
        <v>16</v>
      </c>
      <c r="E9" s="7">
        <v>44713</v>
      </c>
      <c r="F9" s="6" t="s">
        <v>12</v>
      </c>
      <c r="G9" s="9">
        <v>91310</v>
      </c>
    </row>
    <row r="10" spans="1:7">
      <c r="A10" s="6" t="s">
        <v>115</v>
      </c>
      <c r="B10" s="6" t="s">
        <v>15</v>
      </c>
      <c r="C10" s="6">
        <v>33</v>
      </c>
      <c r="D10" s="6" t="s">
        <v>16</v>
      </c>
      <c r="E10" s="7">
        <v>44324</v>
      </c>
      <c r="F10" s="6" t="s">
        <v>19</v>
      </c>
      <c r="G10" s="9">
        <v>74550</v>
      </c>
    </row>
    <row r="11" spans="1:7">
      <c r="A11" s="6" t="s">
        <v>128</v>
      </c>
      <c r="B11" s="6" t="s">
        <v>15</v>
      </c>
      <c r="C11" s="6">
        <v>25</v>
      </c>
      <c r="D11" s="6" t="s">
        <v>13</v>
      </c>
      <c r="E11" s="7">
        <v>44665</v>
      </c>
      <c r="F11" s="6" t="s">
        <v>9</v>
      </c>
      <c r="G11" s="9">
        <v>109190</v>
      </c>
    </row>
    <row r="12" spans="1:7">
      <c r="A12" s="6" t="s">
        <v>194</v>
      </c>
      <c r="B12" s="6" t="s">
        <v>8</v>
      </c>
      <c r="C12" s="6">
        <v>40</v>
      </c>
      <c r="D12" s="6" t="s">
        <v>16</v>
      </c>
      <c r="E12" s="7">
        <v>44320</v>
      </c>
      <c r="F12" s="6" t="s">
        <v>12</v>
      </c>
      <c r="G12" s="9">
        <v>104410</v>
      </c>
    </row>
    <row r="13" spans="1:7">
      <c r="A13" s="6" t="s">
        <v>177</v>
      </c>
      <c r="B13" s="6" t="s">
        <v>15</v>
      </c>
      <c r="C13" s="6">
        <v>30</v>
      </c>
      <c r="D13" s="6" t="s">
        <v>16</v>
      </c>
      <c r="E13" s="7">
        <v>44544</v>
      </c>
      <c r="F13" s="6" t="s">
        <v>21</v>
      </c>
      <c r="G13" s="9">
        <v>96800</v>
      </c>
    </row>
    <row r="14" spans="1:7">
      <c r="A14" s="6" t="s">
        <v>123</v>
      </c>
      <c r="B14" s="6" t="s">
        <v>15</v>
      </c>
      <c r="C14" s="6">
        <v>28</v>
      </c>
      <c r="D14" s="6" t="s">
        <v>13</v>
      </c>
      <c r="E14" s="7">
        <v>43980</v>
      </c>
      <c r="F14" s="6" t="s">
        <v>21</v>
      </c>
      <c r="G14" s="9">
        <v>48170</v>
      </c>
    </row>
    <row r="15" spans="1:7">
      <c r="A15" s="6" t="s">
        <v>140</v>
      </c>
      <c r="B15" s="6" t="s">
        <v>15</v>
      </c>
      <c r="C15" s="6">
        <v>21</v>
      </c>
      <c r="D15" s="6" t="s">
        <v>16</v>
      </c>
      <c r="E15" s="7">
        <v>44042</v>
      </c>
      <c r="F15" s="6" t="s">
        <v>9</v>
      </c>
      <c r="G15" s="9">
        <v>37920</v>
      </c>
    </row>
    <row r="16" spans="1:7">
      <c r="A16" s="6" t="s">
        <v>178</v>
      </c>
      <c r="B16" s="6" t="s">
        <v>15</v>
      </c>
      <c r="C16" s="6">
        <v>34</v>
      </c>
      <c r="D16" s="6" t="s">
        <v>16</v>
      </c>
      <c r="E16" s="7">
        <v>44642</v>
      </c>
      <c r="F16" s="6" t="s">
        <v>9</v>
      </c>
      <c r="G16" s="9">
        <v>112650</v>
      </c>
    </row>
    <row r="17" spans="1:7">
      <c r="A17" s="6" t="s">
        <v>165</v>
      </c>
      <c r="B17" s="6" t="s">
        <v>8</v>
      </c>
      <c r="C17" s="6">
        <v>34</v>
      </c>
      <c r="D17" s="6" t="s">
        <v>24</v>
      </c>
      <c r="E17" s="7">
        <v>44660</v>
      </c>
      <c r="F17" s="6" t="s">
        <v>19</v>
      </c>
      <c r="G17" s="9">
        <v>49630</v>
      </c>
    </row>
    <row r="18" spans="1:7">
      <c r="A18" s="6" t="s">
        <v>199</v>
      </c>
      <c r="B18" s="6" t="s">
        <v>15</v>
      </c>
      <c r="C18" s="6">
        <v>36</v>
      </c>
      <c r="D18" s="6" t="s">
        <v>16</v>
      </c>
      <c r="E18" s="7">
        <v>43958</v>
      </c>
      <c r="F18" s="6" t="s">
        <v>12</v>
      </c>
      <c r="G18" s="9">
        <v>118840</v>
      </c>
    </row>
    <row r="19" spans="1:7">
      <c r="A19" s="6" t="s">
        <v>159</v>
      </c>
      <c r="B19" s="6" t="s">
        <v>15</v>
      </c>
      <c r="C19" s="6">
        <v>30</v>
      </c>
      <c r="D19" s="6" t="s">
        <v>16</v>
      </c>
      <c r="E19" s="7">
        <v>44789</v>
      </c>
      <c r="F19" s="6" t="s">
        <v>12</v>
      </c>
      <c r="G19" s="9">
        <v>69710</v>
      </c>
    </row>
    <row r="20" spans="1:7">
      <c r="A20" s="6" t="s">
        <v>197</v>
      </c>
      <c r="B20" s="6" t="s">
        <v>15</v>
      </c>
      <c r="C20" s="6">
        <v>20</v>
      </c>
      <c r="D20" s="6" t="s">
        <v>16</v>
      </c>
      <c r="E20" s="7">
        <v>44683</v>
      </c>
      <c r="F20" s="6" t="s">
        <v>9</v>
      </c>
      <c r="G20" s="9">
        <v>79570</v>
      </c>
    </row>
    <row r="21" spans="1:7">
      <c r="A21" s="6" t="s">
        <v>154</v>
      </c>
      <c r="B21" s="6" t="s">
        <v>8</v>
      </c>
      <c r="C21" s="6">
        <v>22</v>
      </c>
      <c r="D21" s="6" t="s">
        <v>13</v>
      </c>
      <c r="E21" s="7">
        <v>44388</v>
      </c>
      <c r="F21" s="6" t="s">
        <v>9</v>
      </c>
      <c r="G21" s="9">
        <v>76900</v>
      </c>
    </row>
    <row r="22" spans="1:7">
      <c r="A22" s="6" t="s">
        <v>182</v>
      </c>
      <c r="B22" s="6" t="s">
        <v>15</v>
      </c>
      <c r="C22" s="6">
        <v>27</v>
      </c>
      <c r="D22" s="6" t="s">
        <v>16</v>
      </c>
      <c r="E22" s="7">
        <v>44073</v>
      </c>
      <c r="F22" s="6" t="s">
        <v>19</v>
      </c>
      <c r="G22" s="9">
        <v>54970</v>
      </c>
    </row>
    <row r="23" spans="1:7">
      <c r="A23" s="6" t="s">
        <v>118</v>
      </c>
      <c r="B23" s="6" t="s">
        <v>15</v>
      </c>
      <c r="C23" s="6">
        <v>37</v>
      </c>
      <c r="D23" s="6" t="s">
        <v>24</v>
      </c>
      <c r="E23" s="7">
        <v>44277</v>
      </c>
      <c r="F23" s="6" t="s">
        <v>12</v>
      </c>
      <c r="G23" s="9">
        <v>88050</v>
      </c>
    </row>
    <row r="24" spans="1:7">
      <c r="A24" s="6" t="s">
        <v>192</v>
      </c>
      <c r="B24" s="6" t="s">
        <v>15</v>
      </c>
      <c r="C24" s="6">
        <v>43</v>
      </c>
      <c r="D24" s="6" t="s">
        <v>16</v>
      </c>
      <c r="E24" s="7">
        <v>44558</v>
      </c>
      <c r="F24" s="6" t="s">
        <v>19</v>
      </c>
      <c r="G24" s="9">
        <v>36040</v>
      </c>
    </row>
    <row r="25" spans="1:7">
      <c r="A25" s="6" t="s">
        <v>111</v>
      </c>
      <c r="B25" s="6" t="s">
        <v>8</v>
      </c>
      <c r="C25" s="6">
        <v>42</v>
      </c>
      <c r="D25" s="6" t="s">
        <v>10</v>
      </c>
      <c r="E25" s="7">
        <v>44718</v>
      </c>
      <c r="F25" s="6" t="s">
        <v>9</v>
      </c>
      <c r="G25" s="9">
        <v>75000</v>
      </c>
    </row>
    <row r="26" spans="1:7">
      <c r="A26" s="6" t="s">
        <v>149</v>
      </c>
      <c r="B26" s="6" t="s">
        <v>15</v>
      </c>
      <c r="C26" s="6">
        <v>35</v>
      </c>
      <c r="D26" s="6" t="s">
        <v>16</v>
      </c>
      <c r="E26" s="7">
        <v>44666</v>
      </c>
      <c r="F26" s="6" t="s">
        <v>9</v>
      </c>
      <c r="G26" s="9">
        <v>40400</v>
      </c>
    </row>
    <row r="27" spans="1:7">
      <c r="A27" s="6" t="s">
        <v>196</v>
      </c>
      <c r="B27" s="6" t="s">
        <v>15</v>
      </c>
      <c r="C27" s="6">
        <v>24</v>
      </c>
      <c r="D27" s="6" t="s">
        <v>16</v>
      </c>
      <c r="E27" s="7">
        <v>44625</v>
      </c>
      <c r="F27" s="6" t="s">
        <v>12</v>
      </c>
      <c r="G27" s="9">
        <v>100420</v>
      </c>
    </row>
    <row r="28" spans="1:7">
      <c r="A28" s="6" t="s">
        <v>120</v>
      </c>
      <c r="B28" s="6" t="s">
        <v>8</v>
      </c>
      <c r="C28" s="6">
        <v>31</v>
      </c>
      <c r="D28" s="6" t="s">
        <v>16</v>
      </c>
      <c r="E28" s="7">
        <v>44604</v>
      </c>
      <c r="F28" s="6" t="s">
        <v>12</v>
      </c>
      <c r="G28" s="9">
        <v>58100</v>
      </c>
    </row>
    <row r="29" spans="1:7">
      <c r="A29" s="6" t="s">
        <v>114</v>
      </c>
      <c r="B29" s="6" t="s">
        <v>8</v>
      </c>
      <c r="C29" s="6">
        <v>44</v>
      </c>
      <c r="D29" s="6" t="s">
        <v>16</v>
      </c>
      <c r="E29" s="7">
        <v>44985</v>
      </c>
      <c r="F29" s="6" t="s">
        <v>12</v>
      </c>
      <c r="G29" s="9">
        <v>114870</v>
      </c>
    </row>
    <row r="30" spans="1:7">
      <c r="A30" s="6" t="s">
        <v>158</v>
      </c>
      <c r="B30" s="6" t="s">
        <v>8</v>
      </c>
      <c r="C30" s="6">
        <v>32</v>
      </c>
      <c r="D30" s="6" t="s">
        <v>16</v>
      </c>
      <c r="E30" s="7">
        <v>44549</v>
      </c>
      <c r="F30" s="6" t="s">
        <v>9</v>
      </c>
      <c r="G30" s="9">
        <v>41570</v>
      </c>
    </row>
    <row r="31" spans="1:7">
      <c r="A31" s="6" t="s">
        <v>173</v>
      </c>
      <c r="B31" s="6" t="s">
        <v>8</v>
      </c>
      <c r="C31" s="6">
        <v>30</v>
      </c>
      <c r="D31" s="6" t="s">
        <v>16</v>
      </c>
      <c r="E31" s="7">
        <v>44800</v>
      </c>
      <c r="F31" s="6" t="s">
        <v>9</v>
      </c>
      <c r="G31" s="9">
        <v>112570</v>
      </c>
    </row>
    <row r="32" spans="1:7">
      <c r="A32" s="6" t="s">
        <v>151</v>
      </c>
      <c r="B32" s="6" t="s">
        <v>15</v>
      </c>
      <c r="C32" s="6">
        <v>26</v>
      </c>
      <c r="D32" s="6" t="s">
        <v>16</v>
      </c>
      <c r="E32" s="7">
        <v>44164</v>
      </c>
      <c r="F32" s="6" t="s">
        <v>9</v>
      </c>
      <c r="G32" s="9">
        <v>47360</v>
      </c>
    </row>
    <row r="33" spans="1:7">
      <c r="A33" s="6" t="s">
        <v>126</v>
      </c>
      <c r="B33" s="6" t="s">
        <v>8</v>
      </c>
      <c r="C33" s="6">
        <v>21</v>
      </c>
      <c r="D33" s="6" t="s">
        <v>16</v>
      </c>
      <c r="E33" s="7">
        <v>44256</v>
      </c>
      <c r="F33" s="6" t="s">
        <v>21</v>
      </c>
      <c r="G33" s="9">
        <v>65920</v>
      </c>
    </row>
    <row r="34" spans="1:7">
      <c r="A34" s="6" t="s">
        <v>200</v>
      </c>
      <c r="B34" s="6" t="s">
        <v>8</v>
      </c>
      <c r="C34" s="6">
        <v>28</v>
      </c>
      <c r="D34" s="6" t="s">
        <v>16</v>
      </c>
      <c r="E34" s="7">
        <v>44571</v>
      </c>
      <c r="F34" s="6" t="s">
        <v>9</v>
      </c>
      <c r="G34" s="9">
        <v>99970</v>
      </c>
    </row>
    <row r="35" spans="1:7">
      <c r="A35" s="6" t="s">
        <v>133</v>
      </c>
      <c r="B35" s="6" t="s">
        <v>8</v>
      </c>
      <c r="C35" s="6">
        <v>25</v>
      </c>
      <c r="D35" s="6" t="s">
        <v>13</v>
      </c>
      <c r="E35" s="7">
        <v>44633</v>
      </c>
      <c r="F35" s="6" t="s">
        <v>12</v>
      </c>
      <c r="G35" s="9">
        <v>80700</v>
      </c>
    </row>
    <row r="36" spans="1:7">
      <c r="A36" s="6" t="s">
        <v>155</v>
      </c>
      <c r="B36" s="6" t="s">
        <v>15</v>
      </c>
      <c r="C36" s="6">
        <v>24</v>
      </c>
      <c r="D36" s="6" t="s">
        <v>24</v>
      </c>
      <c r="E36" s="7">
        <v>44375</v>
      </c>
      <c r="F36" s="6" t="s">
        <v>21</v>
      </c>
      <c r="G36" s="9">
        <v>52610</v>
      </c>
    </row>
    <row r="37" spans="1:7">
      <c r="A37" s="6" t="s">
        <v>180</v>
      </c>
      <c r="B37" s="6" t="s">
        <v>15</v>
      </c>
      <c r="C37" s="6">
        <v>29</v>
      </c>
      <c r="D37" s="6" t="s">
        <v>24</v>
      </c>
      <c r="E37" s="7">
        <v>44119</v>
      </c>
      <c r="F37" s="6" t="s">
        <v>12</v>
      </c>
      <c r="G37" s="9">
        <v>112110</v>
      </c>
    </row>
    <row r="38" spans="1:7">
      <c r="A38" s="6" t="s">
        <v>152</v>
      </c>
      <c r="B38" s="6" t="s">
        <v>8</v>
      </c>
      <c r="C38" s="6">
        <v>27</v>
      </c>
      <c r="D38" s="6" t="s">
        <v>16</v>
      </c>
      <c r="E38" s="7">
        <v>44061</v>
      </c>
      <c r="F38" s="6" t="s">
        <v>56</v>
      </c>
      <c r="G38" s="9">
        <v>119110</v>
      </c>
    </row>
    <row r="39" spans="1:7">
      <c r="A39" s="6" t="s">
        <v>150</v>
      </c>
      <c r="B39" s="6" t="s">
        <v>15</v>
      </c>
      <c r="C39" s="6">
        <v>22</v>
      </c>
      <c r="D39" s="6" t="s">
        <v>13</v>
      </c>
      <c r="E39" s="7">
        <v>44384</v>
      </c>
      <c r="F39" s="6" t="s">
        <v>19</v>
      </c>
      <c r="G39" s="9">
        <v>112780</v>
      </c>
    </row>
    <row r="40" spans="1:7">
      <c r="A40" s="6" t="s">
        <v>175</v>
      </c>
      <c r="B40" s="6" t="s">
        <v>8</v>
      </c>
      <c r="C40" s="6">
        <v>36</v>
      </c>
      <c r="D40" s="6" t="s">
        <v>16</v>
      </c>
      <c r="E40" s="7">
        <v>44023</v>
      </c>
      <c r="F40" s="6" t="s">
        <v>9</v>
      </c>
      <c r="G40" s="9">
        <v>114890</v>
      </c>
    </row>
    <row r="41" spans="1:7">
      <c r="A41" s="6" t="s">
        <v>146</v>
      </c>
      <c r="B41" s="6" t="s">
        <v>15</v>
      </c>
      <c r="C41" s="6">
        <v>27</v>
      </c>
      <c r="D41" s="6" t="s">
        <v>16</v>
      </c>
      <c r="E41" s="7">
        <v>44506</v>
      </c>
      <c r="F41" s="6" t="s">
        <v>21</v>
      </c>
      <c r="G41" s="9">
        <v>48980</v>
      </c>
    </row>
    <row r="42" spans="1:7">
      <c r="A42" s="6" t="s">
        <v>170</v>
      </c>
      <c r="B42" s="6" t="s">
        <v>15</v>
      </c>
      <c r="C42" s="6">
        <v>21</v>
      </c>
      <c r="D42" s="6" t="s">
        <v>16</v>
      </c>
      <c r="E42" s="7">
        <v>44180</v>
      </c>
      <c r="F42" s="6" t="s">
        <v>56</v>
      </c>
      <c r="G42" s="9">
        <v>75880</v>
      </c>
    </row>
    <row r="43" spans="1:7">
      <c r="A43" s="6" t="s">
        <v>167</v>
      </c>
      <c r="B43" s="6" t="s">
        <v>8</v>
      </c>
      <c r="C43" s="6">
        <v>28</v>
      </c>
      <c r="D43" s="6" t="s">
        <v>16</v>
      </c>
      <c r="E43" s="7">
        <v>44296</v>
      </c>
      <c r="F43" s="6" t="s">
        <v>19</v>
      </c>
      <c r="G43" s="9">
        <v>53240</v>
      </c>
    </row>
    <row r="44" spans="1:7">
      <c r="A44" s="6" t="s">
        <v>122</v>
      </c>
      <c r="B44" s="6" t="s">
        <v>8</v>
      </c>
      <c r="C44" s="6">
        <v>34</v>
      </c>
      <c r="D44" s="6" t="s">
        <v>16</v>
      </c>
      <c r="E44" s="7">
        <v>44397</v>
      </c>
      <c r="F44" s="6" t="s">
        <v>21</v>
      </c>
      <c r="G44" s="9">
        <v>85000</v>
      </c>
    </row>
    <row r="45" spans="1:7">
      <c r="A45" s="6" t="s">
        <v>179</v>
      </c>
      <c r="B45" s="6" t="s">
        <v>8</v>
      </c>
      <c r="C45" s="6">
        <v>21</v>
      </c>
      <c r="D45" s="6" t="s">
        <v>16</v>
      </c>
      <c r="E45" s="7">
        <v>44619</v>
      </c>
      <c r="F45" s="6" t="s">
        <v>12</v>
      </c>
      <c r="G45" s="9">
        <v>33920</v>
      </c>
    </row>
    <row r="46" spans="1:7">
      <c r="A46" s="6" t="s">
        <v>188</v>
      </c>
      <c r="B46" s="6" t="s">
        <v>8</v>
      </c>
      <c r="C46" s="6">
        <v>33</v>
      </c>
      <c r="D46" s="6" t="s">
        <v>16</v>
      </c>
      <c r="E46" s="7">
        <v>44253</v>
      </c>
      <c r="F46" s="6" t="s">
        <v>12</v>
      </c>
      <c r="G46" s="9">
        <v>75280</v>
      </c>
    </row>
    <row r="47" spans="1:7">
      <c r="A47" s="6" t="s">
        <v>130</v>
      </c>
      <c r="B47" s="6" t="s">
        <v>8</v>
      </c>
      <c r="C47" s="6">
        <v>34</v>
      </c>
      <c r="D47" s="6" t="s">
        <v>16</v>
      </c>
      <c r="E47" s="7">
        <v>44594</v>
      </c>
      <c r="F47" s="6" t="s">
        <v>21</v>
      </c>
      <c r="G47" s="9">
        <v>58940</v>
      </c>
    </row>
    <row r="48" spans="1:7">
      <c r="A48" s="6" t="s">
        <v>136</v>
      </c>
      <c r="B48" s="6" t="s">
        <v>8</v>
      </c>
      <c r="C48" s="6">
        <v>28</v>
      </c>
      <c r="D48" s="6" t="s">
        <v>16</v>
      </c>
      <c r="E48" s="7">
        <v>44425</v>
      </c>
      <c r="F48" s="6" t="s">
        <v>9</v>
      </c>
      <c r="G48" s="9">
        <v>104770</v>
      </c>
    </row>
    <row r="49" spans="1:7">
      <c r="A49" s="6" t="s">
        <v>125</v>
      </c>
      <c r="B49" s="6" t="s">
        <v>15</v>
      </c>
      <c r="C49" s="6">
        <v>21</v>
      </c>
      <c r="D49" s="6" t="s">
        <v>16</v>
      </c>
      <c r="E49" s="7">
        <v>44701</v>
      </c>
      <c r="F49" s="6" t="s">
        <v>9</v>
      </c>
      <c r="G49" s="9">
        <v>57090</v>
      </c>
    </row>
    <row r="50" spans="1:7">
      <c r="A50" s="6" t="s">
        <v>160</v>
      </c>
      <c r="B50" s="6" t="s">
        <v>15</v>
      </c>
      <c r="C50" s="6">
        <v>27</v>
      </c>
      <c r="D50" s="6" t="s">
        <v>13</v>
      </c>
      <c r="E50" s="7">
        <v>44174</v>
      </c>
      <c r="F50" s="6" t="s">
        <v>21</v>
      </c>
      <c r="G50" s="9">
        <v>91650</v>
      </c>
    </row>
    <row r="51" spans="1:7">
      <c r="A51" s="6" t="s">
        <v>183</v>
      </c>
      <c r="B51" s="6" t="s">
        <v>15</v>
      </c>
      <c r="C51" s="6">
        <v>42</v>
      </c>
      <c r="D51" s="6" t="s">
        <v>24</v>
      </c>
      <c r="E51" s="7">
        <v>44670</v>
      </c>
      <c r="F51" s="6" t="s">
        <v>21</v>
      </c>
      <c r="G51" s="9">
        <v>70270</v>
      </c>
    </row>
    <row r="52" spans="1:7">
      <c r="A52" s="6" t="s">
        <v>129</v>
      </c>
      <c r="B52" s="6" t="s">
        <v>8</v>
      </c>
      <c r="C52" s="6">
        <v>28</v>
      </c>
      <c r="D52" s="6" t="s">
        <v>16</v>
      </c>
      <c r="E52" s="7">
        <v>44124</v>
      </c>
      <c r="F52" s="6" t="s">
        <v>21</v>
      </c>
      <c r="G52" s="9">
        <v>75970</v>
      </c>
    </row>
    <row r="53" spans="1:7">
      <c r="A53" s="6" t="s">
        <v>112</v>
      </c>
      <c r="B53" s="6"/>
      <c r="C53" s="6">
        <v>27</v>
      </c>
      <c r="D53" s="6" t="s">
        <v>13</v>
      </c>
      <c r="E53" s="7">
        <v>44212</v>
      </c>
      <c r="F53" s="6" t="s">
        <v>12</v>
      </c>
      <c r="G53" s="9">
        <v>90700</v>
      </c>
    </row>
    <row r="54" spans="1:7">
      <c r="A54" s="6" t="s">
        <v>131</v>
      </c>
      <c r="B54" s="6" t="s">
        <v>15</v>
      </c>
      <c r="C54" s="6">
        <v>30</v>
      </c>
      <c r="D54" s="6" t="s">
        <v>16</v>
      </c>
      <c r="E54" s="7">
        <v>44607</v>
      </c>
      <c r="F54" s="6" t="s">
        <v>9</v>
      </c>
      <c r="G54" s="9">
        <v>60570</v>
      </c>
    </row>
    <row r="55" spans="1:7">
      <c r="A55" s="6" t="s">
        <v>134</v>
      </c>
      <c r="B55" s="6" t="s">
        <v>15</v>
      </c>
      <c r="C55" s="6">
        <v>33</v>
      </c>
      <c r="D55" s="6" t="s">
        <v>16</v>
      </c>
      <c r="E55" s="7">
        <v>44103</v>
      </c>
      <c r="F55" s="6" t="s">
        <v>9</v>
      </c>
      <c r="G55" s="9">
        <v>115920</v>
      </c>
    </row>
    <row r="56" spans="1:7">
      <c r="A56" s="6" t="s">
        <v>186</v>
      </c>
      <c r="B56" s="6" t="s">
        <v>8</v>
      </c>
      <c r="C56" s="6">
        <v>33</v>
      </c>
      <c r="D56" s="6" t="s">
        <v>16</v>
      </c>
      <c r="E56" s="7">
        <v>44006</v>
      </c>
      <c r="F56" s="6" t="s">
        <v>21</v>
      </c>
      <c r="G56" s="9">
        <v>65360</v>
      </c>
    </row>
    <row r="57" spans="1:7">
      <c r="A57" s="6" t="s">
        <v>116</v>
      </c>
      <c r="B57" s="6"/>
      <c r="C57" s="6">
        <v>30</v>
      </c>
      <c r="D57" s="6" t="s">
        <v>16</v>
      </c>
      <c r="E57" s="7">
        <v>44535</v>
      </c>
      <c r="F57" s="6" t="s">
        <v>21</v>
      </c>
      <c r="G57" s="9">
        <v>64000</v>
      </c>
    </row>
    <row r="58" spans="1:7">
      <c r="A58" s="6" t="s">
        <v>195</v>
      </c>
      <c r="B58" s="6" t="s">
        <v>8</v>
      </c>
      <c r="C58" s="6">
        <v>34</v>
      </c>
      <c r="D58" s="6" t="s">
        <v>16</v>
      </c>
      <c r="E58" s="7">
        <v>44383</v>
      </c>
      <c r="F58" s="6" t="s">
        <v>21</v>
      </c>
      <c r="G58" s="9">
        <v>92450</v>
      </c>
    </row>
    <row r="59" spans="1:7">
      <c r="A59" s="6" t="s">
        <v>113</v>
      </c>
      <c r="B59" s="6" t="s">
        <v>15</v>
      </c>
      <c r="C59" s="6">
        <v>31</v>
      </c>
      <c r="D59" s="6" t="s">
        <v>16</v>
      </c>
      <c r="E59" s="7">
        <v>44450</v>
      </c>
      <c r="F59" s="6" t="s">
        <v>12</v>
      </c>
      <c r="G59" s="9">
        <v>48950</v>
      </c>
    </row>
    <row r="60" spans="1:7">
      <c r="A60" s="6" t="s">
        <v>185</v>
      </c>
      <c r="B60" s="6" t="s">
        <v>8</v>
      </c>
      <c r="C60" s="6">
        <v>27</v>
      </c>
      <c r="D60" s="6" t="s">
        <v>16</v>
      </c>
      <c r="E60" s="7">
        <v>44625</v>
      </c>
      <c r="F60" s="6" t="s">
        <v>12</v>
      </c>
      <c r="G60" s="9">
        <v>83750</v>
      </c>
    </row>
    <row r="61" spans="1:7">
      <c r="A61" s="6" t="s">
        <v>166</v>
      </c>
      <c r="B61" s="6" t="s">
        <v>8</v>
      </c>
      <c r="C61" s="6">
        <v>40</v>
      </c>
      <c r="D61" s="6" t="s">
        <v>16</v>
      </c>
      <c r="E61" s="7">
        <v>44276</v>
      </c>
      <c r="F61" s="6" t="s">
        <v>12</v>
      </c>
      <c r="G61" s="9">
        <v>87620</v>
      </c>
    </row>
    <row r="62" spans="1:7">
      <c r="A62" s="6" t="s">
        <v>184</v>
      </c>
      <c r="B62" s="6" t="s">
        <v>8</v>
      </c>
      <c r="C62" s="6">
        <v>20</v>
      </c>
      <c r="D62" s="6" t="s">
        <v>24</v>
      </c>
      <c r="E62" s="7">
        <v>44476</v>
      </c>
      <c r="F62" s="6" t="s">
        <v>19</v>
      </c>
      <c r="G62" s="9">
        <v>68900</v>
      </c>
    </row>
    <row r="63" spans="1:7">
      <c r="A63" s="6" t="s">
        <v>157</v>
      </c>
      <c r="B63" s="6" t="s">
        <v>15</v>
      </c>
      <c r="C63" s="6">
        <v>32</v>
      </c>
      <c r="D63" s="6" t="s">
        <v>16</v>
      </c>
      <c r="E63" s="7">
        <v>44403</v>
      </c>
      <c r="F63" s="6" t="s">
        <v>19</v>
      </c>
      <c r="G63" s="9">
        <v>53540</v>
      </c>
    </row>
    <row r="64" spans="1:7">
      <c r="A64" s="6" t="s">
        <v>172</v>
      </c>
      <c r="B64" s="6" t="s">
        <v>15</v>
      </c>
      <c r="C64" s="6">
        <v>28</v>
      </c>
      <c r="D64" s="6" t="s">
        <v>42</v>
      </c>
      <c r="E64" s="7">
        <v>44758</v>
      </c>
      <c r="F64" s="6" t="s">
        <v>19</v>
      </c>
      <c r="G64" s="9">
        <v>43510</v>
      </c>
    </row>
    <row r="65" spans="1:7">
      <c r="A65" s="6" t="s">
        <v>127</v>
      </c>
      <c r="B65" s="6" t="s">
        <v>8</v>
      </c>
      <c r="C65" s="6">
        <v>38</v>
      </c>
      <c r="D65" s="6" t="s">
        <v>10</v>
      </c>
      <c r="E65" s="7">
        <v>44316</v>
      </c>
      <c r="F65" s="6" t="s">
        <v>19</v>
      </c>
      <c r="G65" s="9">
        <v>109160</v>
      </c>
    </row>
    <row r="66" spans="1:7">
      <c r="A66" s="6" t="s">
        <v>198</v>
      </c>
      <c r="B66" s="6" t="s">
        <v>15</v>
      </c>
      <c r="C66" s="6">
        <v>40</v>
      </c>
      <c r="D66" s="6" t="s">
        <v>16</v>
      </c>
      <c r="E66" s="7">
        <v>44204</v>
      </c>
      <c r="F66" s="6" t="s">
        <v>9</v>
      </c>
      <c r="G66" s="9">
        <v>99750</v>
      </c>
    </row>
    <row r="67" spans="1:7">
      <c r="A67" s="6" t="s">
        <v>124</v>
      </c>
      <c r="B67" s="6" t="s">
        <v>8</v>
      </c>
      <c r="C67" s="6">
        <v>31</v>
      </c>
      <c r="D67" s="6" t="s">
        <v>16</v>
      </c>
      <c r="E67" s="7">
        <v>44084</v>
      </c>
      <c r="F67" s="6" t="s">
        <v>12</v>
      </c>
      <c r="G67" s="9">
        <v>41980</v>
      </c>
    </row>
    <row r="68" spans="1:7">
      <c r="A68" s="6" t="s">
        <v>187</v>
      </c>
      <c r="B68" s="6" t="s">
        <v>15</v>
      </c>
      <c r="C68" s="6">
        <v>36</v>
      </c>
      <c r="D68" s="6" t="s">
        <v>16</v>
      </c>
      <c r="E68" s="7">
        <v>44272</v>
      </c>
      <c r="F68" s="6" t="s">
        <v>21</v>
      </c>
      <c r="G68" s="9">
        <v>71380</v>
      </c>
    </row>
    <row r="69" spans="1:7">
      <c r="A69" s="6" t="s">
        <v>191</v>
      </c>
      <c r="B69" s="6" t="s">
        <v>15</v>
      </c>
      <c r="C69" s="6">
        <v>27</v>
      </c>
      <c r="D69" s="6" t="s">
        <v>42</v>
      </c>
      <c r="E69" s="7">
        <v>44547</v>
      </c>
      <c r="F69" s="6" t="s">
        <v>9</v>
      </c>
      <c r="G69" s="9">
        <v>113280</v>
      </c>
    </row>
    <row r="70" spans="1:7">
      <c r="A70" s="6" t="s">
        <v>181</v>
      </c>
      <c r="B70" s="6" t="s">
        <v>8</v>
      </c>
      <c r="C70" s="6">
        <v>33</v>
      </c>
      <c r="D70" s="6" t="s">
        <v>16</v>
      </c>
      <c r="E70" s="7">
        <v>44747</v>
      </c>
      <c r="F70" s="6" t="s">
        <v>21</v>
      </c>
      <c r="G70" s="9">
        <v>86570</v>
      </c>
    </row>
    <row r="71" spans="1:7">
      <c r="A71" s="6" t="s">
        <v>139</v>
      </c>
      <c r="B71" s="6" t="s">
        <v>15</v>
      </c>
      <c r="C71" s="6">
        <v>26</v>
      </c>
      <c r="D71" s="6" t="s">
        <v>16</v>
      </c>
      <c r="E71" s="7">
        <v>44350</v>
      </c>
      <c r="F71" s="6" t="s">
        <v>9</v>
      </c>
      <c r="G71" s="9">
        <v>53540</v>
      </c>
    </row>
    <row r="72" spans="1:7">
      <c r="A72" s="6" t="s">
        <v>190</v>
      </c>
      <c r="B72" s="6" t="s">
        <v>15</v>
      </c>
      <c r="C72" s="6">
        <v>37</v>
      </c>
      <c r="D72" s="6" t="s">
        <v>16</v>
      </c>
      <c r="E72" s="7">
        <v>44640</v>
      </c>
      <c r="F72" s="6" t="s">
        <v>12</v>
      </c>
      <c r="G72" s="9">
        <v>69070</v>
      </c>
    </row>
    <row r="73" spans="1:7">
      <c r="A73" s="6" t="s">
        <v>121</v>
      </c>
      <c r="B73" s="6" t="s">
        <v>8</v>
      </c>
      <c r="C73" s="6">
        <v>30</v>
      </c>
      <c r="D73" s="6" t="s">
        <v>24</v>
      </c>
      <c r="E73" s="7">
        <v>44328</v>
      </c>
      <c r="F73" s="6" t="s">
        <v>21</v>
      </c>
      <c r="G73" s="9">
        <v>67910</v>
      </c>
    </row>
    <row r="74" spans="1:7">
      <c r="A74" s="6" t="s">
        <v>119</v>
      </c>
      <c r="B74" s="6" t="s">
        <v>15</v>
      </c>
      <c r="C74" s="6">
        <v>30</v>
      </c>
      <c r="D74" s="6" t="s">
        <v>16</v>
      </c>
      <c r="E74" s="7">
        <v>44214</v>
      </c>
      <c r="F74" s="6" t="s">
        <v>12</v>
      </c>
      <c r="G74" s="9">
        <v>69120</v>
      </c>
    </row>
    <row r="75" spans="1:7">
      <c r="A75" s="6" t="s">
        <v>132</v>
      </c>
      <c r="B75" s="6" t="s">
        <v>8</v>
      </c>
      <c r="C75" s="6">
        <v>34</v>
      </c>
      <c r="D75" s="6" t="s">
        <v>16</v>
      </c>
      <c r="E75" s="7">
        <v>44550</v>
      </c>
      <c r="F75" s="6" t="s">
        <v>21</v>
      </c>
      <c r="G75" s="9">
        <v>60130</v>
      </c>
    </row>
    <row r="76" spans="1:7">
      <c r="A76" s="6" t="s">
        <v>161</v>
      </c>
      <c r="B76" s="6" t="s">
        <v>15</v>
      </c>
      <c r="C76" s="6">
        <v>23</v>
      </c>
      <c r="D76" s="6" t="s">
        <v>16</v>
      </c>
      <c r="E76" s="7">
        <v>44378</v>
      </c>
      <c r="F76" s="6" t="s">
        <v>9</v>
      </c>
      <c r="G76" s="9">
        <v>106460</v>
      </c>
    </row>
    <row r="77" spans="1:7">
      <c r="A77" s="6" t="s">
        <v>148</v>
      </c>
      <c r="B77" s="6" t="s">
        <v>8</v>
      </c>
      <c r="C77" s="6">
        <v>37</v>
      </c>
      <c r="D77" s="6" t="s">
        <v>16</v>
      </c>
      <c r="E77" s="7">
        <v>44389</v>
      </c>
      <c r="F77" s="6" t="s">
        <v>56</v>
      </c>
      <c r="G77" s="9">
        <v>118100</v>
      </c>
    </row>
    <row r="78" spans="1:7">
      <c r="A78" s="6" t="s">
        <v>164</v>
      </c>
      <c r="B78" s="6" t="s">
        <v>8</v>
      </c>
      <c r="C78" s="6">
        <v>36</v>
      </c>
      <c r="D78" s="6" t="s">
        <v>16</v>
      </c>
      <c r="E78" s="7">
        <v>44468</v>
      </c>
      <c r="F78" s="6" t="s">
        <v>9</v>
      </c>
      <c r="G78" s="9">
        <v>78390</v>
      </c>
    </row>
    <row r="79" spans="1:7">
      <c r="A79" s="6" t="s">
        <v>147</v>
      </c>
      <c r="B79" s="6" t="s">
        <v>8</v>
      </c>
      <c r="C79" s="6">
        <v>30</v>
      </c>
      <c r="D79" s="6" t="s">
        <v>16</v>
      </c>
      <c r="E79" s="7">
        <v>44789</v>
      </c>
      <c r="F79" s="6" t="s">
        <v>9</v>
      </c>
      <c r="G79" s="9">
        <v>114180</v>
      </c>
    </row>
    <row r="80" spans="1:7">
      <c r="A80" s="6" t="s">
        <v>189</v>
      </c>
      <c r="B80" s="6" t="s">
        <v>8</v>
      </c>
      <c r="C80" s="6">
        <v>28</v>
      </c>
      <c r="D80" s="6" t="s">
        <v>16</v>
      </c>
      <c r="E80" s="7">
        <v>44590</v>
      </c>
      <c r="F80" s="6" t="s">
        <v>9</v>
      </c>
      <c r="G80" s="9">
        <v>104120</v>
      </c>
    </row>
    <row r="81" spans="1:7">
      <c r="A81" s="6" t="s">
        <v>138</v>
      </c>
      <c r="B81" s="6" t="s">
        <v>15</v>
      </c>
      <c r="C81" s="6">
        <v>30</v>
      </c>
      <c r="D81" s="6" t="s">
        <v>16</v>
      </c>
      <c r="E81" s="7">
        <v>44640</v>
      </c>
      <c r="F81" s="6" t="s">
        <v>9</v>
      </c>
      <c r="G81" s="9">
        <v>67950</v>
      </c>
    </row>
    <row r="82" spans="1:7">
      <c r="A82" s="6" t="s">
        <v>137</v>
      </c>
      <c r="B82" s="6" t="s">
        <v>8</v>
      </c>
      <c r="C82" s="6">
        <v>29</v>
      </c>
      <c r="D82" s="6" t="s">
        <v>16</v>
      </c>
      <c r="E82" s="7">
        <v>43962</v>
      </c>
      <c r="F82" s="6" t="s">
        <v>12</v>
      </c>
      <c r="G82" s="9">
        <v>34980</v>
      </c>
    </row>
    <row r="83" spans="1:7">
      <c r="A83" s="6" t="s">
        <v>153</v>
      </c>
      <c r="B83" s="6" t="s">
        <v>8</v>
      </c>
      <c r="C83" s="6">
        <v>24</v>
      </c>
      <c r="D83" s="6" t="s">
        <v>16</v>
      </c>
      <c r="E83" s="7">
        <v>44087</v>
      </c>
      <c r="F83" s="6" t="s">
        <v>12</v>
      </c>
      <c r="G83" s="9">
        <v>62780</v>
      </c>
    </row>
    <row r="84" spans="1:7">
      <c r="A84" s="6" t="s">
        <v>117</v>
      </c>
      <c r="B84" s="6" t="s">
        <v>15</v>
      </c>
      <c r="C84" s="6">
        <v>20</v>
      </c>
      <c r="D84" s="6" t="s">
        <v>16</v>
      </c>
      <c r="E84" s="7">
        <v>44397</v>
      </c>
      <c r="F84" s="6" t="s">
        <v>12</v>
      </c>
      <c r="G84" s="9">
        <v>107700</v>
      </c>
    </row>
    <row r="85" spans="1:7">
      <c r="A85" s="6" t="s">
        <v>168</v>
      </c>
      <c r="B85" s="6" t="s">
        <v>15</v>
      </c>
      <c r="C85" s="6">
        <v>25</v>
      </c>
      <c r="D85" s="6" t="s">
        <v>16</v>
      </c>
      <c r="E85" s="7">
        <v>44322</v>
      </c>
      <c r="F85" s="6" t="s">
        <v>19</v>
      </c>
      <c r="G85" s="9">
        <v>65700</v>
      </c>
    </row>
    <row r="86" spans="1:7">
      <c r="A86" s="6" t="s">
        <v>135</v>
      </c>
      <c r="B86" s="6" t="s">
        <v>8</v>
      </c>
      <c r="C86" s="6">
        <v>33</v>
      </c>
      <c r="D86" s="6" t="s">
        <v>42</v>
      </c>
      <c r="E86" s="7">
        <v>44313</v>
      </c>
      <c r="F86" s="6" t="s">
        <v>12</v>
      </c>
      <c r="G86" s="9">
        <v>75480</v>
      </c>
    </row>
    <row r="87" spans="1:7">
      <c r="A87" s="6" t="s">
        <v>174</v>
      </c>
      <c r="B87" s="6" t="s">
        <v>15</v>
      </c>
      <c r="C87" s="6">
        <v>33</v>
      </c>
      <c r="D87" s="6" t="s">
        <v>16</v>
      </c>
      <c r="E87" s="7">
        <v>44448</v>
      </c>
      <c r="F87" s="6" t="s">
        <v>12</v>
      </c>
      <c r="G87" s="9">
        <v>53870</v>
      </c>
    </row>
    <row r="88" spans="1:7">
      <c r="A88" s="6" t="s">
        <v>141</v>
      </c>
      <c r="B88" s="6" t="s">
        <v>8</v>
      </c>
      <c r="C88" s="6">
        <v>36</v>
      </c>
      <c r="D88" s="6" t="s">
        <v>16</v>
      </c>
      <c r="E88" s="7">
        <v>44433</v>
      </c>
      <c r="F88" s="6" t="s">
        <v>19</v>
      </c>
      <c r="G88" s="9">
        <v>78540</v>
      </c>
    </row>
    <row r="89" spans="1:7">
      <c r="A89" s="6" t="s">
        <v>193</v>
      </c>
      <c r="B89" s="6" t="s">
        <v>15</v>
      </c>
      <c r="C89" s="6">
        <v>19</v>
      </c>
      <c r="D89" s="6" t="s">
        <v>16</v>
      </c>
      <c r="E89" s="7">
        <v>44218</v>
      </c>
      <c r="F89" s="6" t="s">
        <v>9</v>
      </c>
      <c r="G89" s="9">
        <v>58960</v>
      </c>
    </row>
    <row r="90" spans="1:7">
      <c r="A90" s="6" t="s">
        <v>162</v>
      </c>
      <c r="B90" s="6" t="s">
        <v>15</v>
      </c>
      <c r="C90" s="6">
        <v>46</v>
      </c>
      <c r="D90" s="6" t="s">
        <v>16</v>
      </c>
      <c r="E90" s="7">
        <v>44697</v>
      </c>
      <c r="F90" s="6" t="s">
        <v>9</v>
      </c>
      <c r="G90" s="9">
        <v>70610</v>
      </c>
    </row>
    <row r="91" spans="1:7">
      <c r="A91" s="6" t="s">
        <v>171</v>
      </c>
      <c r="B91" s="6" t="s">
        <v>15</v>
      </c>
      <c r="C91" s="6">
        <v>33</v>
      </c>
      <c r="D91" s="6" t="s">
        <v>16</v>
      </c>
      <c r="E91" s="7">
        <v>44181</v>
      </c>
      <c r="F91" s="6" t="s">
        <v>21</v>
      </c>
      <c r="G91" s="9">
        <v>59430</v>
      </c>
    </row>
    <row r="92" spans="1:7">
      <c r="A92" s="6" t="s">
        <v>144</v>
      </c>
      <c r="B92" s="6" t="s">
        <v>15</v>
      </c>
      <c r="C92" s="6">
        <v>33</v>
      </c>
      <c r="D92" s="6" t="s">
        <v>13</v>
      </c>
      <c r="E92" s="7">
        <v>44640</v>
      </c>
      <c r="F92" s="6" t="s">
        <v>9</v>
      </c>
      <c r="G92" s="9">
        <v>48530</v>
      </c>
    </row>
    <row r="93" spans="1:7">
      <c r="A93" s="6" t="s">
        <v>163</v>
      </c>
      <c r="B93" s="6" t="s">
        <v>8</v>
      </c>
      <c r="C93" s="6">
        <v>33</v>
      </c>
      <c r="D93" s="6" t="s">
        <v>16</v>
      </c>
      <c r="E93" s="7">
        <v>44129</v>
      </c>
      <c r="F93" s="6" t="s">
        <v>12</v>
      </c>
      <c r="G93" s="9">
        <v>96140</v>
      </c>
    </row>
    <row r="94" spans="1:7">
      <c r="A94" s="6">
        <f>SUBTOTAL(103,indian[Name])</f>
        <v>92</v>
      </c>
      <c r="B94" s="6">
        <f>SUBTOTAL(103,indian[Gender])</f>
        <v>88</v>
      </c>
      <c r="C94" s="6">
        <f>SUBTOTAL(101,indian[Age])</f>
        <v>30.456521739130434</v>
      </c>
      <c r="D94" s="6"/>
      <c r="E94" s="6"/>
      <c r="F94" s="6"/>
      <c r="G94" s="9">
        <f>SUBTOTAL(101,indian[Salary])</f>
        <v>77366.521739130432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B58CA-E92D-4575-B167-F0B77D783969}">
  <sheetPr>
    <tabColor rgb="FF00B0F0"/>
  </sheetPr>
  <dimension ref="A3:C8"/>
  <sheetViews>
    <sheetView workbookViewId="0">
      <selection activeCell="B7" sqref="B7"/>
    </sheetView>
  </sheetViews>
  <sheetFormatPr defaultRowHeight="15"/>
  <cols>
    <col min="1" max="1" width="23.85546875" bestFit="1" customWidth="1"/>
    <col min="2" max="2" width="16.28515625" bestFit="1" customWidth="1"/>
    <col min="3" max="3" width="7.5703125" bestFit="1" customWidth="1"/>
    <col min="4" max="4" width="20.28515625" bestFit="1" customWidth="1"/>
    <col min="5" max="8" width="12" bestFit="1" customWidth="1"/>
    <col min="9" max="9" width="11" bestFit="1" customWidth="1"/>
    <col min="10" max="13" width="12" bestFit="1" customWidth="1"/>
    <col min="14" max="14" width="11" bestFit="1" customWidth="1"/>
    <col min="15" max="19" width="12" bestFit="1" customWidth="1"/>
    <col min="20" max="20" width="11" bestFit="1" customWidth="1"/>
    <col min="21" max="29" width="12" bestFit="1" customWidth="1"/>
    <col min="30" max="30" width="6" bestFit="1" customWidth="1"/>
    <col min="31" max="45" width="12" bestFit="1" customWidth="1"/>
    <col min="46" max="46" width="11" bestFit="1" customWidth="1"/>
    <col min="47" max="59" width="12" bestFit="1" customWidth="1"/>
    <col min="60" max="60" width="11" bestFit="1" customWidth="1"/>
    <col min="61" max="65" width="12" bestFit="1" customWidth="1"/>
    <col min="66" max="66" width="11" bestFit="1" customWidth="1"/>
    <col min="67" max="67" width="12" bestFit="1" customWidth="1"/>
    <col min="68" max="68" width="11" bestFit="1" customWidth="1"/>
    <col min="69" max="69" width="12" bestFit="1" customWidth="1"/>
    <col min="70" max="70" width="11" bestFit="1" customWidth="1"/>
    <col min="71" max="71" width="6" bestFit="1" customWidth="1"/>
    <col min="72" max="76" width="12" bestFit="1" customWidth="1"/>
    <col min="77" max="77" width="11" bestFit="1" customWidth="1"/>
    <col min="78" max="96" width="12" bestFit="1" customWidth="1"/>
    <col min="97" max="97" width="11" bestFit="1" customWidth="1"/>
    <col min="98" max="98" width="12" bestFit="1" customWidth="1"/>
    <col min="99" max="99" width="11" bestFit="1" customWidth="1"/>
    <col min="100" max="139" width="12" bestFit="1" customWidth="1"/>
    <col min="140" max="140" width="11" bestFit="1" customWidth="1"/>
    <col min="141" max="141" width="12" bestFit="1" customWidth="1"/>
    <col min="142" max="143" width="11" bestFit="1" customWidth="1"/>
    <col min="144" max="151" width="12" bestFit="1" customWidth="1"/>
    <col min="152" max="152" width="11" bestFit="1" customWidth="1"/>
    <col min="153" max="155" width="12" bestFit="1" customWidth="1"/>
    <col min="156" max="156" width="11" bestFit="1" customWidth="1"/>
    <col min="157" max="165" width="12" bestFit="1" customWidth="1"/>
    <col min="166" max="166" width="14.28515625" bestFit="1" customWidth="1"/>
    <col min="167" max="167" width="15.140625" bestFit="1" customWidth="1"/>
    <col min="168" max="168" width="6" bestFit="1" customWidth="1"/>
    <col min="169" max="169" width="11.5703125" bestFit="1" customWidth="1"/>
    <col min="170" max="170" width="12.140625" bestFit="1" customWidth="1"/>
    <col min="171" max="171" width="14.140625" bestFit="1" customWidth="1"/>
    <col min="172" max="172" width="17.28515625" bestFit="1" customWidth="1"/>
    <col min="173" max="173" width="11.85546875" bestFit="1" customWidth="1"/>
    <col min="174" max="174" width="18.7109375" bestFit="1" customWidth="1"/>
    <col min="175" max="175" width="12.140625" bestFit="1" customWidth="1"/>
    <col min="176" max="176" width="9.85546875" bestFit="1" customWidth="1"/>
    <col min="177" max="177" width="17.28515625" bestFit="1" customWidth="1"/>
    <col min="178" max="178" width="18.7109375" bestFit="1" customWidth="1"/>
    <col min="179" max="179" width="18.5703125" bestFit="1" customWidth="1"/>
    <col min="180" max="180" width="18.42578125" bestFit="1" customWidth="1"/>
    <col min="181" max="181" width="16.85546875" bestFit="1" customWidth="1"/>
    <col min="182" max="182" width="14.28515625" bestFit="1" customWidth="1"/>
    <col min="183" max="183" width="12.7109375" bestFit="1" customWidth="1"/>
    <col min="184" max="184" width="13.42578125" bestFit="1" customWidth="1"/>
    <col min="185" max="185" width="10.5703125" bestFit="1" customWidth="1"/>
    <col min="186" max="186" width="11.28515625" bestFit="1" customWidth="1"/>
  </cols>
  <sheetData>
    <row r="3" spans="1:3">
      <c r="B3" s="17" t="s">
        <v>224</v>
      </c>
    </row>
    <row r="4" spans="1:3">
      <c r="A4" s="17" t="s">
        <v>233</v>
      </c>
      <c r="B4" t="s">
        <v>8</v>
      </c>
      <c r="C4" t="s">
        <v>15</v>
      </c>
    </row>
    <row r="5" spans="1:3">
      <c r="A5" s="18" t="s">
        <v>229</v>
      </c>
      <c r="B5" s="20">
        <v>78284.186046511633</v>
      </c>
      <c r="C5" s="20">
        <v>75334.444444444438</v>
      </c>
    </row>
    <row r="6" spans="1:3">
      <c r="A6" s="18" t="s">
        <v>231</v>
      </c>
      <c r="B6" s="21">
        <v>3.1230328129977694</v>
      </c>
      <c r="C6" s="21">
        <v>3.1057838660578403</v>
      </c>
    </row>
    <row r="7" spans="1:3">
      <c r="A7" s="18" t="s">
        <v>228</v>
      </c>
      <c r="B7" s="21">
        <v>31.406976744186046</v>
      </c>
      <c r="C7" s="21">
        <v>29.444444444444443</v>
      </c>
    </row>
    <row r="8" spans="1:3">
      <c r="A8" s="18" t="s">
        <v>230</v>
      </c>
      <c r="B8" s="21">
        <v>268.58082191780818</v>
      </c>
      <c r="C8" s="21">
        <v>279.52054794520564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C5340-14D3-41EA-959C-7DDF4FDF3620}">
  <sheetPr>
    <tabColor theme="7"/>
  </sheetPr>
  <dimension ref="A1:Z186"/>
  <sheetViews>
    <sheetView topLeftCell="D2" workbookViewId="0">
      <selection activeCell="P9" sqref="P9"/>
    </sheetView>
  </sheetViews>
  <sheetFormatPr defaultRowHeight="15"/>
  <cols>
    <col min="1" max="1" width="30" bestFit="1" customWidth="1"/>
    <col min="2" max="2" width="10" bestFit="1" customWidth="1"/>
    <col min="3" max="3" width="14" bestFit="1" customWidth="1"/>
    <col min="4" max="4" width="6.7109375" bestFit="1" customWidth="1"/>
    <col min="5" max="5" width="13.7109375" bestFit="1" customWidth="1"/>
    <col min="6" max="6" width="14.140625" style="5" bestFit="1" customWidth="1"/>
    <col min="7" max="7" width="14.140625" style="5" customWidth="1"/>
    <col min="8" max="8" width="18.140625" style="11" bestFit="1" customWidth="1"/>
    <col min="9" max="9" width="14.28515625" bestFit="1" customWidth="1"/>
    <col min="10" max="10" width="10" bestFit="1" customWidth="1"/>
    <col min="12" max="12" width="10.5703125" style="23" bestFit="1" customWidth="1"/>
    <col min="13" max="13" width="19.85546875" bestFit="1" customWidth="1"/>
    <col min="14" max="14" width="17.42578125" customWidth="1"/>
    <col min="15" max="15" width="6.140625" customWidth="1"/>
    <col min="16" max="16" width="18.85546875" bestFit="1" customWidth="1"/>
    <col min="17" max="17" width="10.85546875" bestFit="1" customWidth="1"/>
  </cols>
  <sheetData>
    <row r="1" spans="1:26">
      <c r="A1" t="s">
        <v>0</v>
      </c>
      <c r="B1" t="s">
        <v>1</v>
      </c>
      <c r="C1" t="s">
        <v>2</v>
      </c>
      <c r="D1" t="s">
        <v>3</v>
      </c>
      <c r="E1" t="s">
        <v>4</v>
      </c>
      <c r="F1" s="5" t="s">
        <v>212</v>
      </c>
      <c r="G1" s="5" t="s">
        <v>213</v>
      </c>
      <c r="H1" s="11" t="s">
        <v>217</v>
      </c>
      <c r="I1" s="22" t="s">
        <v>5</v>
      </c>
      <c r="J1" t="s">
        <v>6</v>
      </c>
      <c r="K1" t="s">
        <v>204</v>
      </c>
      <c r="L1" s="23" t="s">
        <v>234</v>
      </c>
      <c r="M1" t="s">
        <v>235</v>
      </c>
    </row>
    <row r="2" spans="1:26">
      <c r="A2" s="5" t="s">
        <v>86</v>
      </c>
      <c r="B2" s="5" t="s">
        <v>8</v>
      </c>
      <c r="C2" s="5" t="s">
        <v>12</v>
      </c>
      <c r="D2" s="5">
        <v>21</v>
      </c>
      <c r="E2" s="10">
        <v>44678</v>
      </c>
      <c r="F2" s="10">
        <f t="shared" ref="F2:F33" ca="1" si="0">TODAY()</f>
        <v>45573</v>
      </c>
      <c r="G2" s="5">
        <f ca="1">staff[[#This Row],[current date]]-staff[[#This Row],[Date Joined]]</f>
        <v>895</v>
      </c>
      <c r="H2" s="11">
        <f ca="1">staff[[#This Row],[tenure]]/365</f>
        <v>2.452054794520548</v>
      </c>
      <c r="I2" s="24">
        <v>33920</v>
      </c>
      <c r="J2" s="5" t="s">
        <v>16</v>
      </c>
      <c r="K2" s="5" t="s">
        <v>205</v>
      </c>
      <c r="L2" s="24">
        <f ca="1">ROUNDUP(IF(staff[[#This Row],[tenure in year]]&gt;2,3%,2%)*staff[[#This Row],[Salary]],0)</f>
        <v>1018</v>
      </c>
      <c r="M2" s="5">
        <f>_xlfn.XLOOKUP(staff[[#This Row],[Rating]],Sheet6!$B$3:$B$7,Sheet6!$C$3:$C$7)</f>
        <v>3</v>
      </c>
      <c r="O2" s="14">
        <v>1</v>
      </c>
      <c r="P2" t="s">
        <v>208</v>
      </c>
      <c r="Q2">
        <f>COUNTA(staff[Name])</f>
        <v>185</v>
      </c>
    </row>
    <row r="3" spans="1:26">
      <c r="A3" s="5" t="s">
        <v>179</v>
      </c>
      <c r="B3" s="5" t="s">
        <v>8</v>
      </c>
      <c r="C3" s="5" t="s">
        <v>12</v>
      </c>
      <c r="D3" s="5">
        <v>21</v>
      </c>
      <c r="E3" s="10">
        <v>44619</v>
      </c>
      <c r="F3" s="10">
        <f t="shared" ca="1" si="0"/>
        <v>45573</v>
      </c>
      <c r="G3" s="5">
        <f ca="1">staff[[#This Row],[current date]]-staff[[#This Row],[Date Joined]]</f>
        <v>954</v>
      </c>
      <c r="H3" s="11">
        <f ca="1">staff[[#This Row],[tenure]]/365</f>
        <v>2.6136986301369864</v>
      </c>
      <c r="I3" s="24">
        <v>33920</v>
      </c>
      <c r="J3" s="5" t="s">
        <v>16</v>
      </c>
      <c r="K3" s="5" t="s">
        <v>207</v>
      </c>
      <c r="L3" s="24">
        <f ca="1">ROUNDUP(IF(staff[[#This Row],[tenure in year]]&gt;2,3%,2%)*staff[[#This Row],[Salary]],0)</f>
        <v>1018</v>
      </c>
      <c r="M3" s="5">
        <f>_xlfn.XLOOKUP(staff[[#This Row],[Rating]],Sheet6!$B$3:$B$7,Sheet6!$C$3:$C$7)</f>
        <v>3</v>
      </c>
      <c r="P3" t="s">
        <v>209</v>
      </c>
      <c r="Q3" s="8">
        <f>ROUND(AVERAGE(staff[Salary]),0)</f>
        <v>77367</v>
      </c>
      <c r="R3" t="s">
        <v>215</v>
      </c>
      <c r="S3">
        <f>MEDIAN(staff[[#All],[Salary]])</f>
        <v>75280</v>
      </c>
    </row>
    <row r="4" spans="1:26">
      <c r="A4" s="5" t="s">
        <v>44</v>
      </c>
      <c r="B4" s="5" t="s">
        <v>8</v>
      </c>
      <c r="C4" s="5" t="s">
        <v>12</v>
      </c>
      <c r="D4" s="5">
        <v>29</v>
      </c>
      <c r="E4" s="10">
        <v>44023</v>
      </c>
      <c r="F4" s="10">
        <f t="shared" ca="1" si="0"/>
        <v>45573</v>
      </c>
      <c r="G4" s="5">
        <f ca="1">staff[[#This Row],[current date]]-staff[[#This Row],[Date Joined]]</f>
        <v>1550</v>
      </c>
      <c r="H4" s="11">
        <f ca="1">staff[[#This Row],[tenure]]/365</f>
        <v>4.2465753424657535</v>
      </c>
      <c r="I4" s="24">
        <v>34980</v>
      </c>
      <c r="J4" s="5" t="s">
        <v>16</v>
      </c>
      <c r="K4" s="5" t="s">
        <v>205</v>
      </c>
      <c r="L4" s="24">
        <f ca="1">ROUNDUP(IF(staff[[#This Row],[tenure in year]]&gt;2,3%,2%)*staff[[#This Row],[Salary]],0)</f>
        <v>1050</v>
      </c>
      <c r="M4" s="5">
        <f>_xlfn.XLOOKUP(staff[[#This Row],[Rating]],Sheet6!$B$3:$B$7,Sheet6!$C$3:$C$7)</f>
        <v>3</v>
      </c>
      <c r="P4" t="s">
        <v>210</v>
      </c>
      <c r="Q4">
        <f>AVERAGE(staff[Age])</f>
        <v>30.446054054054056</v>
      </c>
      <c r="R4" t="s">
        <v>215</v>
      </c>
      <c r="S4">
        <f>MEDIAN(staff[Age])</f>
        <v>30</v>
      </c>
    </row>
    <row r="5" spans="1:26">
      <c r="A5" s="5" t="s">
        <v>137</v>
      </c>
      <c r="B5" s="5" t="s">
        <v>8</v>
      </c>
      <c r="C5" s="5" t="s">
        <v>12</v>
      </c>
      <c r="D5" s="5">
        <v>29</v>
      </c>
      <c r="E5" s="10">
        <v>43962</v>
      </c>
      <c r="F5" s="10">
        <f t="shared" ca="1" si="0"/>
        <v>45573</v>
      </c>
      <c r="G5" s="5">
        <f ca="1">staff[[#This Row],[current date]]-staff[[#This Row],[Date Joined]]</f>
        <v>1611</v>
      </c>
      <c r="H5" s="11">
        <f ca="1">staff[[#This Row],[tenure]]/365</f>
        <v>4.4136986301369863</v>
      </c>
      <c r="I5" s="24">
        <v>34980</v>
      </c>
      <c r="J5" s="5" t="s">
        <v>16</v>
      </c>
      <c r="K5" s="5" t="s">
        <v>207</v>
      </c>
      <c r="L5" s="24">
        <f ca="1">ROUNDUP(IF(staff[[#This Row],[tenure in year]]&gt;2,3%,2%)*staff[[#This Row],[Salary]],0)</f>
        <v>1050</v>
      </c>
      <c r="M5" s="5">
        <f>_xlfn.XLOOKUP(staff[[#This Row],[Rating]],Sheet6!$B$3:$B$7,Sheet6!$C$3:$C$7)</f>
        <v>3</v>
      </c>
      <c r="P5" t="s">
        <v>211</v>
      </c>
      <c r="Q5">
        <f ca="1">AVERAGE(staff[tenure])</f>
        <v>1138.3297297297297</v>
      </c>
      <c r="R5" t="s">
        <v>215</v>
      </c>
      <c r="S5">
        <f ca="1">MEDIAN(staff[tenure])</f>
        <v>1140</v>
      </c>
    </row>
    <row r="6" spans="1:26">
      <c r="A6" s="5" t="s">
        <v>99</v>
      </c>
      <c r="B6" s="5" t="s">
        <v>15</v>
      </c>
      <c r="C6" s="5" t="s">
        <v>19</v>
      </c>
      <c r="D6" s="5">
        <v>43</v>
      </c>
      <c r="E6" s="10">
        <v>44620</v>
      </c>
      <c r="F6" s="10">
        <f t="shared" ca="1" si="0"/>
        <v>45573</v>
      </c>
      <c r="G6" s="5">
        <f ca="1">staff[[#This Row],[current date]]-staff[[#This Row],[Date Joined]]</f>
        <v>953</v>
      </c>
      <c r="H6" s="11">
        <f ca="1">staff[[#This Row],[tenure]]/365</f>
        <v>2.6109589041095891</v>
      </c>
      <c r="I6" s="24">
        <v>36040</v>
      </c>
      <c r="J6" s="5" t="s">
        <v>16</v>
      </c>
      <c r="K6" s="5" t="s">
        <v>205</v>
      </c>
      <c r="L6" s="24">
        <f ca="1">ROUNDUP(IF(staff[[#This Row],[tenure in year]]&gt;2,3%,2%)*staff[[#This Row],[Salary]],0)</f>
        <v>1082</v>
      </c>
      <c r="M6" s="5">
        <f>_xlfn.XLOOKUP(staff[[#This Row],[Rating]],Sheet6!$B$3:$B$7,Sheet6!$C$3:$C$7)</f>
        <v>3</v>
      </c>
      <c r="P6" t="s">
        <v>211</v>
      </c>
      <c r="Q6" s="12">
        <f ca="1">AVERAGE(staff[tenure in year])</f>
        <v>3.1187115883006293</v>
      </c>
    </row>
    <row r="7" spans="1:26">
      <c r="A7" s="5" t="s">
        <v>192</v>
      </c>
      <c r="B7" s="5" t="s">
        <v>15</v>
      </c>
      <c r="C7" s="5" t="s">
        <v>19</v>
      </c>
      <c r="D7" s="5">
        <v>43</v>
      </c>
      <c r="E7" s="10">
        <v>44558</v>
      </c>
      <c r="F7" s="10">
        <f t="shared" ca="1" si="0"/>
        <v>45573</v>
      </c>
      <c r="G7" s="5">
        <f ca="1">staff[[#This Row],[current date]]-staff[[#This Row],[Date Joined]]</f>
        <v>1015</v>
      </c>
      <c r="H7" s="11">
        <f ca="1">staff[[#This Row],[tenure]]/365</f>
        <v>2.7808219178082192</v>
      </c>
      <c r="I7" s="24">
        <v>36040</v>
      </c>
      <c r="J7" s="5" t="s">
        <v>16</v>
      </c>
      <c r="K7" s="5" t="s">
        <v>207</v>
      </c>
      <c r="L7" s="24">
        <f ca="1">ROUNDUP(IF(staff[[#This Row],[tenure in year]]&gt;2,3%,2%)*staff[[#This Row],[Salary]],0)</f>
        <v>1082</v>
      </c>
      <c r="M7" s="5">
        <f>_xlfn.XLOOKUP(staff[[#This Row],[Rating]],Sheet6!$B$3:$B$7,Sheet6!$C$3:$C$7)</f>
        <v>3</v>
      </c>
      <c r="P7" t="s">
        <v>214</v>
      </c>
      <c r="Q7" s="13">
        <f>Q9/Q10</f>
        <v>0.46236559139784944</v>
      </c>
    </row>
    <row r="8" spans="1:26">
      <c r="A8" s="5" t="s">
        <v>47</v>
      </c>
      <c r="B8" s="5" t="s">
        <v>15</v>
      </c>
      <c r="C8" s="5" t="s">
        <v>9</v>
      </c>
      <c r="D8" s="5">
        <v>21</v>
      </c>
      <c r="E8" s="10">
        <v>44104</v>
      </c>
      <c r="F8" s="10">
        <f t="shared" ca="1" si="0"/>
        <v>45573</v>
      </c>
      <c r="G8" s="5">
        <f ca="1">staff[[#This Row],[current date]]-staff[[#This Row],[Date Joined]]</f>
        <v>1469</v>
      </c>
      <c r="H8" s="11">
        <f ca="1">staff[[#This Row],[tenure]]/365</f>
        <v>4.0246575342465754</v>
      </c>
      <c r="I8" s="24">
        <v>37920</v>
      </c>
      <c r="J8" s="5" t="s">
        <v>16</v>
      </c>
      <c r="K8" s="5" t="s">
        <v>205</v>
      </c>
      <c r="L8" s="24">
        <f ca="1">ROUNDUP(IF(staff[[#This Row],[tenure in year]]&gt;2,3%,2%)*staff[[#This Row],[Salary]],0)</f>
        <v>1138</v>
      </c>
      <c r="M8" s="5">
        <f>_xlfn.XLOOKUP(staff[[#This Row],[Rating]],Sheet6!$B$3:$B$7,Sheet6!$C$3:$C$7)</f>
        <v>3</v>
      </c>
      <c r="P8" t="s">
        <v>216</v>
      </c>
      <c r="Q8">
        <f>COUNTIF(B:B,"Female")</f>
        <v>86</v>
      </c>
    </row>
    <row r="9" spans="1:26">
      <c r="A9" s="5" t="s">
        <v>140</v>
      </c>
      <c r="B9" s="5" t="s">
        <v>15</v>
      </c>
      <c r="C9" s="5" t="s">
        <v>9</v>
      </c>
      <c r="D9" s="5">
        <v>21</v>
      </c>
      <c r="E9" s="10">
        <v>44042</v>
      </c>
      <c r="F9" s="10">
        <f t="shared" ca="1" si="0"/>
        <v>45573</v>
      </c>
      <c r="G9" s="5">
        <f ca="1">staff[[#This Row],[current date]]-staff[[#This Row],[Date Joined]]</f>
        <v>1531</v>
      </c>
      <c r="H9" s="11">
        <f ca="1">staff[[#This Row],[tenure]]/365</f>
        <v>4.1945205479452055</v>
      </c>
      <c r="I9" s="24">
        <v>37920</v>
      </c>
      <c r="J9" s="5" t="s">
        <v>16</v>
      </c>
      <c r="K9" s="5" t="s">
        <v>207</v>
      </c>
      <c r="L9" s="24">
        <f ca="1">ROUNDUP(IF(staff[[#This Row],[tenure in year]]&gt;2,3%,2%)*staff[[#This Row],[Salary]],0)</f>
        <v>1138</v>
      </c>
      <c r="M9" s="5">
        <f>_xlfn.XLOOKUP(staff[[#This Row],[Rating]],Sheet6!$B$3:$B$7,Sheet6!$C$3:$C$7)</f>
        <v>3</v>
      </c>
      <c r="P9" t="s">
        <v>216</v>
      </c>
      <c r="Q9">
        <f>COUNTIF(staff[[#All],[Gender]],"Female")</f>
        <v>86</v>
      </c>
    </row>
    <row r="10" spans="1:26">
      <c r="A10" s="5" t="s">
        <v>57</v>
      </c>
      <c r="B10" s="5" t="s">
        <v>15</v>
      </c>
      <c r="C10" s="5" t="s">
        <v>9</v>
      </c>
      <c r="D10" s="5">
        <v>35</v>
      </c>
      <c r="E10" s="10">
        <v>44727</v>
      </c>
      <c r="F10" s="10">
        <f t="shared" ca="1" si="0"/>
        <v>45573</v>
      </c>
      <c r="G10" s="5">
        <f ca="1">staff[[#This Row],[current date]]-staff[[#This Row],[Date Joined]]</f>
        <v>846</v>
      </c>
      <c r="H10" s="11">
        <f ca="1">staff[[#This Row],[tenure]]/365</f>
        <v>2.3178082191780822</v>
      </c>
      <c r="I10" s="24">
        <v>40400</v>
      </c>
      <c r="J10" s="5" t="s">
        <v>16</v>
      </c>
      <c r="K10" s="5" t="s">
        <v>205</v>
      </c>
      <c r="L10" s="24">
        <f ca="1">ROUNDUP(IF(staff[[#This Row],[tenure in year]]&gt;2,3%,2%)*staff[[#This Row],[Salary]],0)</f>
        <v>1212</v>
      </c>
      <c r="M10" s="5">
        <f>_xlfn.XLOOKUP(staff[[#This Row],[Rating]],Sheet6!$B$3:$B$7,Sheet6!$C$3:$C$7)</f>
        <v>3</v>
      </c>
      <c r="P10" t="s">
        <v>218</v>
      </c>
      <c r="Q10">
        <f>COUNTA(staff[[#All],[Gender]])</f>
        <v>186</v>
      </c>
    </row>
    <row r="11" spans="1:26">
      <c r="A11" s="5" t="s">
        <v>149</v>
      </c>
      <c r="B11" s="5" t="s">
        <v>15</v>
      </c>
      <c r="C11" s="5" t="s">
        <v>9</v>
      </c>
      <c r="D11" s="5">
        <v>35</v>
      </c>
      <c r="E11" s="10">
        <v>44666</v>
      </c>
      <c r="F11" s="10">
        <f t="shared" ca="1" si="0"/>
        <v>45573</v>
      </c>
      <c r="G11" s="5">
        <f ca="1">staff[[#This Row],[current date]]-staff[[#This Row],[Date Joined]]</f>
        <v>907</v>
      </c>
      <c r="H11" s="11">
        <f ca="1">staff[[#This Row],[tenure]]/365</f>
        <v>2.484931506849315</v>
      </c>
      <c r="I11" s="24">
        <v>40400</v>
      </c>
      <c r="J11" s="5" t="s">
        <v>16</v>
      </c>
      <c r="K11" s="5" t="s">
        <v>207</v>
      </c>
      <c r="L11" s="24">
        <f ca="1">ROUNDUP(IF(staff[[#This Row],[tenure in year]]&gt;2,3%,2%)*staff[[#This Row],[Salary]],0)</f>
        <v>1212</v>
      </c>
      <c r="M11" s="5">
        <f>_xlfn.XLOOKUP(staff[[#This Row],[Rating]],Sheet6!$B$3:$B$7,Sheet6!$C$3:$C$7)</f>
        <v>3</v>
      </c>
      <c r="P11" t="s">
        <v>253</v>
      </c>
      <c r="Q11">
        <f>COUNTIF(staff[Salary],"&gt;="&amp;90000)</f>
        <v>64</v>
      </c>
    </row>
    <row r="12" spans="1:26">
      <c r="A12" s="5" t="s">
        <v>66</v>
      </c>
      <c r="B12" s="5" t="s">
        <v>8</v>
      </c>
      <c r="C12" s="5" t="s">
        <v>9</v>
      </c>
      <c r="D12" s="5">
        <v>32</v>
      </c>
      <c r="E12" s="10">
        <v>44611</v>
      </c>
      <c r="F12" s="10">
        <f t="shared" ca="1" si="0"/>
        <v>45573</v>
      </c>
      <c r="G12" s="5">
        <f ca="1">staff[[#This Row],[current date]]-staff[[#This Row],[Date Joined]]</f>
        <v>962</v>
      </c>
      <c r="H12" s="11">
        <f ca="1">staff[[#This Row],[tenure]]/365</f>
        <v>2.6356164383561644</v>
      </c>
      <c r="I12" s="24">
        <v>41570</v>
      </c>
      <c r="J12" s="5" t="s">
        <v>16</v>
      </c>
      <c r="K12" s="5" t="s">
        <v>205</v>
      </c>
      <c r="L12" s="24">
        <f ca="1">ROUNDUP(IF(staff[[#This Row],[tenure in year]]&gt;2,3%,2%)*staff[[#This Row],[Salary]],0)</f>
        <v>1248</v>
      </c>
      <c r="M12" s="5">
        <f>_xlfn.XLOOKUP(staff[[#This Row],[Rating]],Sheet6!$B$3:$B$7,Sheet6!$C$3:$C$7)</f>
        <v>3</v>
      </c>
      <c r="P12" t="s">
        <v>254</v>
      </c>
      <c r="Q12" s="13">
        <f>Q11/Q2</f>
        <v>0.34594594594594597</v>
      </c>
    </row>
    <row r="13" spans="1:26">
      <c r="A13" s="5" t="s">
        <v>158</v>
      </c>
      <c r="B13" s="5" t="s">
        <v>8</v>
      </c>
      <c r="C13" s="5" t="s">
        <v>9</v>
      </c>
      <c r="D13" s="5">
        <v>32</v>
      </c>
      <c r="E13" s="10">
        <v>44549</v>
      </c>
      <c r="F13" s="10">
        <f t="shared" ca="1" si="0"/>
        <v>45573</v>
      </c>
      <c r="G13" s="5">
        <f ca="1">staff[[#This Row],[current date]]-staff[[#This Row],[Date Joined]]</f>
        <v>1024</v>
      </c>
      <c r="H13" s="11">
        <f ca="1">staff[[#This Row],[tenure]]/365</f>
        <v>2.8054794520547945</v>
      </c>
      <c r="I13" s="24">
        <v>41570</v>
      </c>
      <c r="J13" s="5" t="s">
        <v>16</v>
      </c>
      <c r="K13" s="5" t="s">
        <v>207</v>
      </c>
      <c r="L13" s="24">
        <f ca="1">ROUNDUP(IF(staff[[#This Row],[tenure in year]]&gt;2,3%,2%)*staff[[#This Row],[Salary]],0)</f>
        <v>1248</v>
      </c>
      <c r="M13" s="5">
        <f>_xlfn.XLOOKUP(staff[[#This Row],[Rating]],Sheet6!$B$3:$B$7,Sheet6!$C$3:$C$7)</f>
        <v>3</v>
      </c>
      <c r="O13" s="15">
        <v>2</v>
      </c>
      <c r="P13" s="16" t="s">
        <v>87</v>
      </c>
    </row>
    <row r="14" spans="1:26">
      <c r="A14" s="5" t="s">
        <v>30</v>
      </c>
      <c r="B14" s="5" t="s">
        <v>8</v>
      </c>
      <c r="C14" s="5" t="s">
        <v>12</v>
      </c>
      <c r="D14" s="5">
        <v>31</v>
      </c>
      <c r="E14" s="10">
        <v>44145</v>
      </c>
      <c r="F14" s="10">
        <f t="shared" ca="1" si="0"/>
        <v>45573</v>
      </c>
      <c r="G14" s="5">
        <f ca="1">staff[[#This Row],[current date]]-staff[[#This Row],[Date Joined]]</f>
        <v>1428</v>
      </c>
      <c r="H14" s="11">
        <f ca="1">staff[[#This Row],[tenure]]/365</f>
        <v>3.9123287671232876</v>
      </c>
      <c r="I14" s="24">
        <v>41980</v>
      </c>
      <c r="J14" s="5" t="s">
        <v>16</v>
      </c>
      <c r="K14" s="5" t="s">
        <v>205</v>
      </c>
      <c r="L14" s="24">
        <f ca="1">ROUNDUP(IF(staff[[#This Row],[tenure in year]]&gt;2,3%,2%)*staff[[#This Row],[Salary]],0)</f>
        <v>1260</v>
      </c>
      <c r="M14" s="5">
        <f>_xlfn.XLOOKUP(staff[[#This Row],[Rating]],Sheet6!$B$3:$B$7,Sheet6!$C$3:$C$7)</f>
        <v>3</v>
      </c>
      <c r="P14" t="s">
        <v>36</v>
      </c>
      <c r="Q14" t="str" cm="1">
        <f t="array" aca="1" ref="Q14:Z14" ca="1">_xlfn.XLOOKUP(P14,staff[Name],staff[[Gender]:[country]])</f>
        <v>Female</v>
      </c>
      <c r="R14" t="str">
        <f ca="1"/>
        <v>Finance</v>
      </c>
      <c r="S14">
        <f ca="1"/>
        <v>34</v>
      </c>
      <c r="T14">
        <f ca="1"/>
        <v>44653</v>
      </c>
      <c r="U14">
        <f ca="1"/>
        <v>45573</v>
      </c>
      <c r="V14">
        <f ca="1"/>
        <v>920</v>
      </c>
      <c r="W14">
        <f ca="1"/>
        <v>2.5205479452054793</v>
      </c>
      <c r="X14">
        <f ca="1"/>
        <v>58940</v>
      </c>
      <c r="Y14" t="str">
        <f ca="1"/>
        <v>Average</v>
      </c>
      <c r="Z14" t="str">
        <f ca="1"/>
        <v>NZ</v>
      </c>
    </row>
    <row r="15" spans="1:26">
      <c r="A15" s="5" t="s">
        <v>124</v>
      </c>
      <c r="B15" s="5" t="s">
        <v>8</v>
      </c>
      <c r="C15" s="5" t="s">
        <v>12</v>
      </c>
      <c r="D15" s="5">
        <v>31</v>
      </c>
      <c r="E15" s="10">
        <v>44084</v>
      </c>
      <c r="F15" s="10">
        <f t="shared" ca="1" si="0"/>
        <v>45573</v>
      </c>
      <c r="G15" s="5">
        <f ca="1">staff[[#This Row],[current date]]-staff[[#This Row],[Date Joined]]</f>
        <v>1489</v>
      </c>
      <c r="H15" s="11">
        <f ca="1">staff[[#This Row],[tenure]]/365</f>
        <v>4.0794520547945208</v>
      </c>
      <c r="I15" s="24">
        <v>41980</v>
      </c>
      <c r="J15" s="5" t="s">
        <v>16</v>
      </c>
      <c r="K15" s="5" t="s">
        <v>207</v>
      </c>
      <c r="L15" s="24">
        <f ca="1">ROUNDUP(IF(staff[[#This Row],[tenure in year]]&gt;2,3%,2%)*staff[[#This Row],[Salary]],0)</f>
        <v>1260</v>
      </c>
      <c r="M15" s="5">
        <f>_xlfn.XLOOKUP(staff[[#This Row],[Rating]],Sheet6!$B$3:$B$7,Sheet6!$C$3:$C$7)</f>
        <v>3</v>
      </c>
      <c r="P15" t="s">
        <v>219</v>
      </c>
      <c r="Q15" t="str" cm="1">
        <f t="array" aca="1" ref="Q15:Z15" ca="1">_xlfn.XLOOKUP(P13,staff[Name],staff[[Gender]:[country]])</f>
        <v>Male</v>
      </c>
      <c r="R15" t="str">
        <f ca="1"/>
        <v>Website</v>
      </c>
      <c r="S15">
        <f ca="1"/>
        <v>29</v>
      </c>
      <c r="T15">
        <f ca="1"/>
        <v>44180</v>
      </c>
      <c r="U15">
        <f ca="1"/>
        <v>45573</v>
      </c>
      <c r="V15">
        <f ca="1"/>
        <v>1393</v>
      </c>
      <c r="W15">
        <f ca="1"/>
        <v>3.8164383561643835</v>
      </c>
      <c r="X15">
        <f ca="1"/>
        <v>112110</v>
      </c>
      <c r="Y15" t="str">
        <f ca="1"/>
        <v>Poor</v>
      </c>
      <c r="Z15" t="str">
        <f ca="1"/>
        <v>NZ</v>
      </c>
    </row>
    <row r="16" spans="1:26">
      <c r="A16" s="5" t="s">
        <v>80</v>
      </c>
      <c r="B16" s="5" t="s">
        <v>15</v>
      </c>
      <c r="C16" s="5" t="s">
        <v>19</v>
      </c>
      <c r="D16" s="5">
        <v>28</v>
      </c>
      <c r="E16" s="10">
        <v>44820</v>
      </c>
      <c r="F16" s="10">
        <f t="shared" ca="1" si="0"/>
        <v>45573</v>
      </c>
      <c r="G16" s="5">
        <f ca="1">staff[[#This Row],[current date]]-staff[[#This Row],[Date Joined]]</f>
        <v>753</v>
      </c>
      <c r="H16" s="11">
        <f ca="1">staff[[#This Row],[tenure]]/365</f>
        <v>2.0630136986301371</v>
      </c>
      <c r="I16" s="24">
        <v>43510</v>
      </c>
      <c r="J16" s="5" t="s">
        <v>42</v>
      </c>
      <c r="K16" s="5" t="s">
        <v>205</v>
      </c>
      <c r="L16" s="24">
        <f ca="1">ROUNDUP(IF(staff[[#This Row],[tenure in year]]&gt;2,3%,2%)*staff[[#This Row],[Salary]],0)</f>
        <v>1306</v>
      </c>
      <c r="M16" s="5">
        <f>_xlfn.XLOOKUP(staff[[#This Row],[Rating]],Sheet6!$B$3:$B$7,Sheet6!$C$3:$C$7)</f>
        <v>1</v>
      </c>
    </row>
    <row r="17" spans="1:17">
      <c r="A17" s="5" t="s">
        <v>172</v>
      </c>
      <c r="B17" s="5" t="s">
        <v>15</v>
      </c>
      <c r="C17" s="5" t="s">
        <v>19</v>
      </c>
      <c r="D17" s="5">
        <v>28</v>
      </c>
      <c r="E17" s="10">
        <v>44758</v>
      </c>
      <c r="F17" s="10">
        <f t="shared" ca="1" si="0"/>
        <v>45573</v>
      </c>
      <c r="G17" s="5">
        <f ca="1">staff[[#This Row],[current date]]-staff[[#This Row],[Date Joined]]</f>
        <v>815</v>
      </c>
      <c r="H17" s="11">
        <f ca="1">staff[[#This Row],[tenure]]/365</f>
        <v>2.2328767123287672</v>
      </c>
      <c r="I17" s="24">
        <v>43510</v>
      </c>
      <c r="J17" s="5" t="s">
        <v>42</v>
      </c>
      <c r="K17" s="5" t="s">
        <v>207</v>
      </c>
      <c r="L17" s="24">
        <f ca="1">ROUNDUP(IF(staff[[#This Row],[tenure in year]]&gt;2,3%,2%)*staff[[#This Row],[Salary]],0)</f>
        <v>1306</v>
      </c>
      <c r="M17" s="5">
        <f>_xlfn.XLOOKUP(staff[[#This Row],[Rating]],Sheet6!$B$3:$B$7,Sheet6!$C$3:$C$7)</f>
        <v>1</v>
      </c>
      <c r="P17" t="s">
        <v>220</v>
      </c>
      <c r="Q17">
        <f ca="1">VLOOKUP(P13,staff[],7,FALSE)</f>
        <v>1393</v>
      </c>
    </row>
    <row r="18" spans="1:17">
      <c r="A18" s="5" t="s">
        <v>84</v>
      </c>
      <c r="B18" s="5" t="s">
        <v>8</v>
      </c>
      <c r="C18" s="5" t="s">
        <v>12</v>
      </c>
      <c r="D18" s="5">
        <v>32</v>
      </c>
      <c r="E18" s="10">
        <v>44354</v>
      </c>
      <c r="F18" s="10">
        <f t="shared" ca="1" si="0"/>
        <v>45573</v>
      </c>
      <c r="G18" s="5">
        <f ca="1">staff[[#This Row],[current date]]-staff[[#This Row],[Date Joined]]</f>
        <v>1219</v>
      </c>
      <c r="H18" s="11">
        <f ca="1">staff[[#This Row],[tenure]]/365</f>
        <v>3.3397260273972602</v>
      </c>
      <c r="I18" s="24">
        <v>43840</v>
      </c>
      <c r="J18" s="5" t="s">
        <v>13</v>
      </c>
      <c r="K18" s="5" t="s">
        <v>205</v>
      </c>
      <c r="L18" s="24">
        <f ca="1">ROUNDUP(IF(staff[[#This Row],[tenure in year]]&gt;2,3%,2%)*staff[[#This Row],[Salary]],0)</f>
        <v>1316</v>
      </c>
      <c r="M18" s="5">
        <f>_xlfn.XLOOKUP(staff[[#This Row],[Rating]],Sheet6!$B$3:$B$7,Sheet6!$C$3:$C$7)</f>
        <v>4</v>
      </c>
    </row>
    <row r="19" spans="1:17">
      <c r="A19" s="5" t="s">
        <v>176</v>
      </c>
      <c r="B19" s="5" t="s">
        <v>8</v>
      </c>
      <c r="C19" s="5" t="s">
        <v>12</v>
      </c>
      <c r="D19" s="5">
        <v>32</v>
      </c>
      <c r="E19" s="10">
        <v>44293</v>
      </c>
      <c r="F19" s="10">
        <f t="shared" ca="1" si="0"/>
        <v>45573</v>
      </c>
      <c r="G19" s="5">
        <f ca="1">staff[[#This Row],[current date]]-staff[[#This Row],[Date Joined]]</f>
        <v>1280</v>
      </c>
      <c r="H19" s="11">
        <f ca="1">staff[[#This Row],[tenure]]/365</f>
        <v>3.506849315068493</v>
      </c>
      <c r="I19" s="24">
        <v>43840</v>
      </c>
      <c r="J19" s="5" t="s">
        <v>13</v>
      </c>
      <c r="K19" s="5" t="s">
        <v>207</v>
      </c>
      <c r="L19" s="24">
        <f ca="1">ROUNDUP(IF(staff[[#This Row],[tenure in year]]&gt;2,3%,2%)*staff[[#This Row],[Salary]],0)</f>
        <v>1316</v>
      </c>
      <c r="M19" s="5">
        <f>_xlfn.XLOOKUP(staff[[#This Row],[Rating]],Sheet6!$B$3:$B$7,Sheet6!$C$3:$C$7)</f>
        <v>4</v>
      </c>
    </row>
    <row r="20" spans="1:17">
      <c r="A20" s="5" t="s">
        <v>108</v>
      </c>
      <c r="B20" s="5" t="s">
        <v>8</v>
      </c>
      <c r="C20" s="5" t="s">
        <v>56</v>
      </c>
      <c r="D20" s="5">
        <v>32</v>
      </c>
      <c r="E20" s="10">
        <v>44400</v>
      </c>
      <c r="F20" s="10">
        <f t="shared" ca="1" si="0"/>
        <v>45573</v>
      </c>
      <c r="G20" s="5">
        <f ca="1">staff[[#This Row],[current date]]-staff[[#This Row],[Date Joined]]</f>
        <v>1173</v>
      </c>
      <c r="H20" s="11">
        <f ca="1">staff[[#This Row],[tenure]]/365</f>
        <v>3.2136986301369861</v>
      </c>
      <c r="I20" s="24">
        <v>45510</v>
      </c>
      <c r="J20" s="5" t="s">
        <v>16</v>
      </c>
      <c r="K20" s="5" t="s">
        <v>205</v>
      </c>
      <c r="L20" s="24">
        <f ca="1">ROUNDUP(IF(staff[[#This Row],[tenure in year]]&gt;2,3%,2%)*staff[[#This Row],[Salary]],0)</f>
        <v>1366</v>
      </c>
      <c r="M20" s="5">
        <f>_xlfn.XLOOKUP(staff[[#This Row],[Rating]],Sheet6!$B$3:$B$7,Sheet6!$C$3:$C$7)</f>
        <v>3</v>
      </c>
    </row>
    <row r="21" spans="1:17">
      <c r="A21" s="5" t="s">
        <v>201</v>
      </c>
      <c r="B21" s="5" t="s">
        <v>8</v>
      </c>
      <c r="C21" s="5" t="s">
        <v>56</v>
      </c>
      <c r="D21" s="5">
        <v>32</v>
      </c>
      <c r="E21" s="10">
        <v>44339</v>
      </c>
      <c r="F21" s="10">
        <f t="shared" ca="1" si="0"/>
        <v>45573</v>
      </c>
      <c r="G21" s="5">
        <f ca="1">staff[[#This Row],[current date]]-staff[[#This Row],[Date Joined]]</f>
        <v>1234</v>
      </c>
      <c r="H21" s="11">
        <f ca="1">staff[[#This Row],[tenure]]/365</f>
        <v>3.3808219178082193</v>
      </c>
      <c r="I21" s="24">
        <v>45510</v>
      </c>
      <c r="J21" s="5" t="s">
        <v>16</v>
      </c>
      <c r="K21" s="5" t="s">
        <v>207</v>
      </c>
      <c r="L21" s="24">
        <f ca="1">ROUNDUP(IF(staff[[#This Row],[tenure in year]]&gt;2,3%,2%)*staff[[#This Row],[Salary]],0)</f>
        <v>1366</v>
      </c>
      <c r="M21" s="5">
        <f>_xlfn.XLOOKUP(staff[[#This Row],[Rating]],Sheet6!$B$3:$B$7,Sheet6!$C$3:$C$7)</f>
        <v>3</v>
      </c>
    </row>
    <row r="22" spans="1:17">
      <c r="A22" s="5" t="s">
        <v>59</v>
      </c>
      <c r="B22" s="5" t="s">
        <v>15</v>
      </c>
      <c r="C22" s="5" t="s">
        <v>9</v>
      </c>
      <c r="D22" s="5">
        <v>26</v>
      </c>
      <c r="E22" s="10">
        <v>44225</v>
      </c>
      <c r="F22" s="10">
        <f t="shared" ca="1" si="0"/>
        <v>45573</v>
      </c>
      <c r="G22" s="5">
        <f ca="1">staff[[#This Row],[current date]]-staff[[#This Row],[Date Joined]]</f>
        <v>1348</v>
      </c>
      <c r="H22" s="11">
        <f ca="1">staff[[#This Row],[tenure]]/365</f>
        <v>3.6931506849315068</v>
      </c>
      <c r="I22" s="24">
        <v>47360</v>
      </c>
      <c r="J22" s="5" t="s">
        <v>16</v>
      </c>
      <c r="K22" s="5" t="s">
        <v>205</v>
      </c>
      <c r="L22" s="24">
        <f ca="1">ROUNDUP(IF(staff[[#This Row],[tenure in year]]&gt;2,3%,2%)*staff[[#This Row],[Salary]],0)</f>
        <v>1421</v>
      </c>
      <c r="M22" s="5">
        <f>_xlfn.XLOOKUP(staff[[#This Row],[Rating]],Sheet6!$B$3:$B$7,Sheet6!$C$3:$C$7)</f>
        <v>3</v>
      </c>
    </row>
    <row r="23" spans="1:17">
      <c r="A23" s="5" t="s">
        <v>151</v>
      </c>
      <c r="B23" s="5" t="s">
        <v>15</v>
      </c>
      <c r="C23" s="5" t="s">
        <v>9</v>
      </c>
      <c r="D23" s="5">
        <v>26</v>
      </c>
      <c r="E23" s="10">
        <v>44164</v>
      </c>
      <c r="F23" s="10">
        <f t="shared" ca="1" si="0"/>
        <v>45573</v>
      </c>
      <c r="G23" s="5">
        <f ca="1">staff[[#This Row],[current date]]-staff[[#This Row],[Date Joined]]</f>
        <v>1409</v>
      </c>
      <c r="H23" s="11">
        <f ca="1">staff[[#This Row],[tenure]]/365</f>
        <v>3.8602739726027395</v>
      </c>
      <c r="I23" s="24">
        <v>47360</v>
      </c>
      <c r="J23" s="5" t="s">
        <v>16</v>
      </c>
      <c r="K23" s="5" t="s">
        <v>207</v>
      </c>
      <c r="L23" s="24">
        <f ca="1">ROUNDUP(IF(staff[[#This Row],[tenure in year]]&gt;2,3%,2%)*staff[[#This Row],[Salary]],0)</f>
        <v>1421</v>
      </c>
      <c r="M23" s="5">
        <f>_xlfn.XLOOKUP(staff[[#This Row],[Rating]],Sheet6!$B$3:$B$7,Sheet6!$C$3:$C$7)</f>
        <v>3</v>
      </c>
    </row>
    <row r="24" spans="1:17">
      <c r="A24" s="5" t="s">
        <v>29</v>
      </c>
      <c r="B24" s="5" t="s">
        <v>15</v>
      </c>
      <c r="C24" s="5" t="s">
        <v>21</v>
      </c>
      <c r="D24" s="5">
        <v>28</v>
      </c>
      <c r="E24" s="10">
        <v>44041</v>
      </c>
      <c r="F24" s="10">
        <f t="shared" ca="1" si="0"/>
        <v>45573</v>
      </c>
      <c r="G24" s="5">
        <f ca="1">staff[[#This Row],[current date]]-staff[[#This Row],[Date Joined]]</f>
        <v>1532</v>
      </c>
      <c r="H24" s="11">
        <f ca="1">staff[[#This Row],[tenure]]/365</f>
        <v>4.1972602739726028</v>
      </c>
      <c r="I24" s="24">
        <v>48170</v>
      </c>
      <c r="J24" s="5" t="s">
        <v>13</v>
      </c>
      <c r="K24" s="5" t="s">
        <v>205</v>
      </c>
      <c r="L24" s="24">
        <f ca="1">ROUNDUP(IF(staff[[#This Row],[tenure in year]]&gt;2,3%,2%)*staff[[#This Row],[Salary]],0)</f>
        <v>1446</v>
      </c>
      <c r="M24" s="5">
        <f>_xlfn.XLOOKUP(staff[[#This Row],[Rating]],Sheet6!$B$3:$B$7,Sheet6!$C$3:$C$7)</f>
        <v>4</v>
      </c>
    </row>
    <row r="25" spans="1:17">
      <c r="A25" s="5" t="s">
        <v>123</v>
      </c>
      <c r="B25" s="5" t="s">
        <v>15</v>
      </c>
      <c r="C25" s="5" t="s">
        <v>21</v>
      </c>
      <c r="D25" s="5">
        <v>28</v>
      </c>
      <c r="E25" s="10">
        <v>43980</v>
      </c>
      <c r="F25" s="10">
        <f t="shared" ca="1" si="0"/>
        <v>45573</v>
      </c>
      <c r="G25" s="5">
        <f ca="1">staff[[#This Row],[current date]]-staff[[#This Row],[Date Joined]]</f>
        <v>1593</v>
      </c>
      <c r="H25" s="11">
        <f ca="1">staff[[#This Row],[tenure]]/365</f>
        <v>4.3643835616438356</v>
      </c>
      <c r="I25" s="24">
        <v>48170</v>
      </c>
      <c r="J25" s="5" t="s">
        <v>13</v>
      </c>
      <c r="K25" s="5" t="s">
        <v>207</v>
      </c>
      <c r="L25" s="24">
        <f ca="1">ROUNDUP(IF(staff[[#This Row],[tenure in year]]&gt;2,3%,2%)*staff[[#This Row],[Salary]],0)</f>
        <v>1446</v>
      </c>
      <c r="M25" s="5">
        <f>_xlfn.XLOOKUP(staff[[#This Row],[Rating]],Sheet6!$B$3:$B$7,Sheet6!$C$3:$C$7)</f>
        <v>4</v>
      </c>
    </row>
    <row r="26" spans="1:17">
      <c r="A26" s="5" t="s">
        <v>51</v>
      </c>
      <c r="B26" s="5" t="s">
        <v>15</v>
      </c>
      <c r="C26" s="5" t="s">
        <v>9</v>
      </c>
      <c r="D26" s="5">
        <v>33</v>
      </c>
      <c r="E26" s="10">
        <v>44701</v>
      </c>
      <c r="F26" s="10">
        <f t="shared" ca="1" si="0"/>
        <v>45573</v>
      </c>
      <c r="G26" s="5">
        <f ca="1">staff[[#This Row],[current date]]-staff[[#This Row],[Date Joined]]</f>
        <v>872</v>
      </c>
      <c r="H26" s="11">
        <f ca="1">staff[[#This Row],[tenure]]/365</f>
        <v>2.3890410958904109</v>
      </c>
      <c r="I26" s="24">
        <v>48530</v>
      </c>
      <c r="J26" s="5" t="s">
        <v>13</v>
      </c>
      <c r="K26" s="5" t="s">
        <v>205</v>
      </c>
      <c r="L26" s="24">
        <f ca="1">ROUNDUP(IF(staff[[#This Row],[tenure in year]]&gt;2,3%,2%)*staff[[#This Row],[Salary]],0)</f>
        <v>1456</v>
      </c>
      <c r="M26" s="5">
        <f>_xlfn.XLOOKUP(staff[[#This Row],[Rating]],Sheet6!$B$3:$B$7,Sheet6!$C$3:$C$7)</f>
        <v>4</v>
      </c>
    </row>
    <row r="27" spans="1:17">
      <c r="A27" s="5" t="s">
        <v>144</v>
      </c>
      <c r="B27" s="5" t="s">
        <v>15</v>
      </c>
      <c r="C27" s="5" t="s">
        <v>9</v>
      </c>
      <c r="D27" s="5">
        <v>33</v>
      </c>
      <c r="E27" s="10">
        <v>44640</v>
      </c>
      <c r="F27" s="10">
        <f t="shared" ca="1" si="0"/>
        <v>45573</v>
      </c>
      <c r="G27" s="5">
        <f ca="1">staff[[#This Row],[current date]]-staff[[#This Row],[Date Joined]]</f>
        <v>933</v>
      </c>
      <c r="H27" s="11">
        <f ca="1">staff[[#This Row],[tenure]]/365</f>
        <v>2.5561643835616437</v>
      </c>
      <c r="I27" s="24">
        <v>48530</v>
      </c>
      <c r="J27" s="5" t="s">
        <v>13</v>
      </c>
      <c r="K27" s="5" t="s">
        <v>207</v>
      </c>
      <c r="L27" s="24">
        <f ca="1">ROUNDUP(IF(staff[[#This Row],[tenure in year]]&gt;2,3%,2%)*staff[[#This Row],[Salary]],0)</f>
        <v>1456</v>
      </c>
      <c r="M27" s="5">
        <f>_xlfn.XLOOKUP(staff[[#This Row],[Rating]],Sheet6!$B$3:$B$7,Sheet6!$C$3:$C$7)</f>
        <v>4</v>
      </c>
    </row>
    <row r="28" spans="1:17">
      <c r="A28" s="5" t="s">
        <v>14</v>
      </c>
      <c r="B28" s="5" t="s">
        <v>15</v>
      </c>
      <c r="C28" s="5" t="s">
        <v>12</v>
      </c>
      <c r="D28" s="5">
        <v>31</v>
      </c>
      <c r="E28" s="10">
        <v>44511</v>
      </c>
      <c r="F28" s="10">
        <f t="shared" ca="1" si="0"/>
        <v>45573</v>
      </c>
      <c r="G28" s="5">
        <f ca="1">staff[[#This Row],[current date]]-staff[[#This Row],[Date Joined]]</f>
        <v>1062</v>
      </c>
      <c r="H28" s="11">
        <f ca="1">staff[[#This Row],[tenure]]/365</f>
        <v>2.9095890410958902</v>
      </c>
      <c r="I28" s="24">
        <v>48950</v>
      </c>
      <c r="J28" s="5" t="s">
        <v>16</v>
      </c>
      <c r="K28" s="5" t="s">
        <v>205</v>
      </c>
      <c r="L28" s="24">
        <f ca="1">ROUNDUP(IF(staff[[#This Row],[tenure in year]]&gt;2,3%,2%)*staff[[#This Row],[Salary]],0)</f>
        <v>1469</v>
      </c>
      <c r="M28" s="5">
        <f>_xlfn.XLOOKUP(staff[[#This Row],[Rating]],Sheet6!$B$3:$B$7,Sheet6!$C$3:$C$7)</f>
        <v>3</v>
      </c>
    </row>
    <row r="29" spans="1:17">
      <c r="A29" s="5" t="s">
        <v>113</v>
      </c>
      <c r="B29" s="5" t="s">
        <v>15</v>
      </c>
      <c r="C29" s="5" t="s">
        <v>12</v>
      </c>
      <c r="D29" s="5">
        <v>31</v>
      </c>
      <c r="E29" s="10">
        <v>44450</v>
      </c>
      <c r="F29" s="10">
        <f t="shared" ca="1" si="0"/>
        <v>45573</v>
      </c>
      <c r="G29" s="5">
        <f ca="1">staff[[#This Row],[current date]]-staff[[#This Row],[Date Joined]]</f>
        <v>1123</v>
      </c>
      <c r="H29" s="11">
        <f ca="1">staff[[#This Row],[tenure]]/365</f>
        <v>3.0767123287671234</v>
      </c>
      <c r="I29" s="24">
        <v>48950</v>
      </c>
      <c r="J29" s="5" t="s">
        <v>16</v>
      </c>
      <c r="K29" s="5" t="s">
        <v>207</v>
      </c>
      <c r="L29" s="24">
        <f ca="1">ROUNDUP(IF(staff[[#This Row],[tenure in year]]&gt;2,3%,2%)*staff[[#This Row],[Salary]],0)</f>
        <v>1469</v>
      </c>
      <c r="M29" s="5">
        <f>_xlfn.XLOOKUP(staff[[#This Row],[Rating]],Sheet6!$B$3:$B$7,Sheet6!$C$3:$C$7)</f>
        <v>3</v>
      </c>
    </row>
    <row r="30" spans="1:17">
      <c r="A30" s="5" t="s">
        <v>53</v>
      </c>
      <c r="B30" s="5" t="s">
        <v>15</v>
      </c>
      <c r="C30" s="5" t="s">
        <v>21</v>
      </c>
      <c r="D30" s="5">
        <v>27</v>
      </c>
      <c r="E30" s="10">
        <v>44567</v>
      </c>
      <c r="F30" s="10">
        <f t="shared" ca="1" si="0"/>
        <v>45573</v>
      </c>
      <c r="G30" s="5">
        <f ca="1">staff[[#This Row],[current date]]-staff[[#This Row],[Date Joined]]</f>
        <v>1006</v>
      </c>
      <c r="H30" s="11">
        <f ca="1">staff[[#This Row],[tenure]]/365</f>
        <v>2.7561643835616438</v>
      </c>
      <c r="I30" s="24">
        <v>48980</v>
      </c>
      <c r="J30" s="5" t="s">
        <v>16</v>
      </c>
      <c r="K30" s="5" t="s">
        <v>205</v>
      </c>
      <c r="L30" s="24">
        <f ca="1">ROUNDUP(IF(staff[[#This Row],[tenure in year]]&gt;2,3%,2%)*staff[[#This Row],[Salary]],0)</f>
        <v>1470</v>
      </c>
      <c r="M30" s="5">
        <f>_xlfn.XLOOKUP(staff[[#This Row],[Rating]],Sheet6!$B$3:$B$7,Sheet6!$C$3:$C$7)</f>
        <v>3</v>
      </c>
    </row>
    <row r="31" spans="1:17">
      <c r="A31" s="5" t="s">
        <v>146</v>
      </c>
      <c r="B31" s="5" t="s">
        <v>15</v>
      </c>
      <c r="C31" s="5" t="s">
        <v>21</v>
      </c>
      <c r="D31" s="5">
        <v>27</v>
      </c>
      <c r="E31" s="10">
        <v>44506</v>
      </c>
      <c r="F31" s="10">
        <f t="shared" ca="1" si="0"/>
        <v>45573</v>
      </c>
      <c r="G31" s="5">
        <f ca="1">staff[[#This Row],[current date]]-staff[[#This Row],[Date Joined]]</f>
        <v>1067</v>
      </c>
      <c r="H31" s="11">
        <f ca="1">staff[[#This Row],[tenure]]/365</f>
        <v>2.9232876712328766</v>
      </c>
      <c r="I31" s="24">
        <v>48980</v>
      </c>
      <c r="J31" s="5" t="s">
        <v>16</v>
      </c>
      <c r="K31" s="5" t="s">
        <v>207</v>
      </c>
      <c r="L31" s="24">
        <f ca="1">ROUNDUP(IF(staff[[#This Row],[tenure in year]]&gt;2,3%,2%)*staff[[#This Row],[Salary]],0)</f>
        <v>1470</v>
      </c>
      <c r="M31" s="5">
        <f>_xlfn.XLOOKUP(staff[[#This Row],[Rating]],Sheet6!$B$3:$B$7,Sheet6!$C$3:$C$7)</f>
        <v>3</v>
      </c>
    </row>
    <row r="32" spans="1:17">
      <c r="A32" s="5" t="s">
        <v>73</v>
      </c>
      <c r="B32" s="5" t="s">
        <v>8</v>
      </c>
      <c r="C32" s="5" t="s">
        <v>19</v>
      </c>
      <c r="D32" s="5">
        <v>34</v>
      </c>
      <c r="E32" s="10">
        <v>44721</v>
      </c>
      <c r="F32" s="10">
        <f t="shared" ca="1" si="0"/>
        <v>45573</v>
      </c>
      <c r="G32" s="5">
        <f ca="1">staff[[#This Row],[current date]]-staff[[#This Row],[Date Joined]]</f>
        <v>852</v>
      </c>
      <c r="H32" s="11">
        <f ca="1">staff[[#This Row],[tenure]]/365</f>
        <v>2.3342465753424659</v>
      </c>
      <c r="I32" s="24">
        <v>49630</v>
      </c>
      <c r="J32" s="5" t="s">
        <v>24</v>
      </c>
      <c r="K32" s="5" t="s">
        <v>205</v>
      </c>
      <c r="L32" s="24">
        <f ca="1">ROUNDUP(IF(staff[[#This Row],[tenure in year]]&gt;2,3%,2%)*staff[[#This Row],[Salary]],0)</f>
        <v>1489</v>
      </c>
      <c r="M32" s="5">
        <f>_xlfn.XLOOKUP(staff[[#This Row],[Rating]],Sheet6!$B$3:$B$7,Sheet6!$C$3:$C$7)</f>
        <v>2</v>
      </c>
    </row>
    <row r="33" spans="1:13">
      <c r="A33" s="5" t="s">
        <v>165</v>
      </c>
      <c r="B33" s="5" t="s">
        <v>8</v>
      </c>
      <c r="C33" s="5" t="s">
        <v>19</v>
      </c>
      <c r="D33" s="5">
        <v>34</v>
      </c>
      <c r="E33" s="10">
        <v>44660</v>
      </c>
      <c r="F33" s="10">
        <f t="shared" ca="1" si="0"/>
        <v>45573</v>
      </c>
      <c r="G33" s="5">
        <f ca="1">staff[[#This Row],[current date]]-staff[[#This Row],[Date Joined]]</f>
        <v>913</v>
      </c>
      <c r="H33" s="11">
        <f ca="1">staff[[#This Row],[tenure]]/365</f>
        <v>2.5013698630136987</v>
      </c>
      <c r="I33" s="24">
        <v>49630</v>
      </c>
      <c r="J33" s="5" t="s">
        <v>24</v>
      </c>
      <c r="K33" s="5" t="s">
        <v>207</v>
      </c>
      <c r="L33" s="24">
        <f ca="1">ROUNDUP(IF(staff[[#This Row],[tenure in year]]&gt;2,3%,2%)*staff[[#This Row],[Salary]],0)</f>
        <v>1489</v>
      </c>
      <c r="M33" s="5">
        <f>_xlfn.XLOOKUP(staff[[#This Row],[Rating]],Sheet6!$B$3:$B$7,Sheet6!$C$3:$C$7)</f>
        <v>2</v>
      </c>
    </row>
    <row r="34" spans="1:13">
      <c r="A34" s="5" t="s">
        <v>63</v>
      </c>
      <c r="B34" s="5" t="s">
        <v>15</v>
      </c>
      <c r="C34" s="5" t="s">
        <v>21</v>
      </c>
      <c r="D34" s="5">
        <v>24</v>
      </c>
      <c r="E34" s="10">
        <v>44436</v>
      </c>
      <c r="F34" s="10">
        <f t="shared" ref="F34:F65" ca="1" si="1">TODAY()</f>
        <v>45573</v>
      </c>
      <c r="G34" s="5">
        <f ca="1">staff[[#This Row],[current date]]-staff[[#This Row],[Date Joined]]</f>
        <v>1137</v>
      </c>
      <c r="H34" s="11">
        <f ca="1">staff[[#This Row],[tenure]]/365</f>
        <v>3.1150684931506851</v>
      </c>
      <c r="I34" s="24">
        <v>52610</v>
      </c>
      <c r="J34" s="5" t="s">
        <v>24</v>
      </c>
      <c r="K34" s="5" t="s">
        <v>205</v>
      </c>
      <c r="L34" s="24">
        <f ca="1">ROUNDUP(IF(staff[[#This Row],[tenure in year]]&gt;2,3%,2%)*staff[[#This Row],[Salary]],0)</f>
        <v>1579</v>
      </c>
      <c r="M34" s="5">
        <f>_xlfn.XLOOKUP(staff[[#This Row],[Rating]],Sheet6!$B$3:$B$7,Sheet6!$C$3:$C$7)</f>
        <v>2</v>
      </c>
    </row>
    <row r="35" spans="1:13">
      <c r="A35" s="5" t="s">
        <v>155</v>
      </c>
      <c r="B35" s="5" t="s">
        <v>15</v>
      </c>
      <c r="C35" s="5" t="s">
        <v>21</v>
      </c>
      <c r="D35" s="5">
        <v>24</v>
      </c>
      <c r="E35" s="10">
        <v>44375</v>
      </c>
      <c r="F35" s="10">
        <f t="shared" ca="1" si="1"/>
        <v>45573</v>
      </c>
      <c r="G35" s="5">
        <f ca="1">staff[[#This Row],[current date]]-staff[[#This Row],[Date Joined]]</f>
        <v>1198</v>
      </c>
      <c r="H35" s="11">
        <f ca="1">staff[[#This Row],[tenure]]/365</f>
        <v>3.2821917808219179</v>
      </c>
      <c r="I35" s="24">
        <v>52610</v>
      </c>
      <c r="J35" s="5" t="s">
        <v>24</v>
      </c>
      <c r="K35" s="5" t="s">
        <v>207</v>
      </c>
      <c r="L35" s="24">
        <f ca="1">ROUNDUP(IF(staff[[#This Row],[tenure in year]]&gt;2,3%,2%)*staff[[#This Row],[Salary]],0)</f>
        <v>1579</v>
      </c>
      <c r="M35" s="5">
        <f>_xlfn.XLOOKUP(staff[[#This Row],[Rating]],Sheet6!$B$3:$B$7,Sheet6!$C$3:$C$7)</f>
        <v>2</v>
      </c>
    </row>
    <row r="36" spans="1:13">
      <c r="A36" s="5" t="s">
        <v>75</v>
      </c>
      <c r="B36" s="5" t="s">
        <v>8</v>
      </c>
      <c r="C36" s="5" t="s">
        <v>19</v>
      </c>
      <c r="D36" s="5">
        <v>28</v>
      </c>
      <c r="E36" s="10">
        <v>44357</v>
      </c>
      <c r="F36" s="10">
        <f t="shared" ca="1" si="1"/>
        <v>45573</v>
      </c>
      <c r="G36" s="5">
        <f ca="1">staff[[#This Row],[current date]]-staff[[#This Row],[Date Joined]]</f>
        <v>1216</v>
      </c>
      <c r="H36" s="11">
        <f ca="1">staff[[#This Row],[tenure]]/365</f>
        <v>3.3315068493150686</v>
      </c>
      <c r="I36" s="24">
        <v>53240</v>
      </c>
      <c r="J36" s="5" t="s">
        <v>16</v>
      </c>
      <c r="K36" s="5" t="s">
        <v>205</v>
      </c>
      <c r="L36" s="24">
        <f ca="1">ROUNDUP(IF(staff[[#This Row],[tenure in year]]&gt;2,3%,2%)*staff[[#This Row],[Salary]],0)</f>
        <v>1598</v>
      </c>
      <c r="M36" s="5">
        <f>_xlfn.XLOOKUP(staff[[#This Row],[Rating]],Sheet6!$B$3:$B$7,Sheet6!$C$3:$C$7)</f>
        <v>3</v>
      </c>
    </row>
    <row r="37" spans="1:13">
      <c r="A37" s="5" t="s">
        <v>167</v>
      </c>
      <c r="B37" s="5" t="s">
        <v>8</v>
      </c>
      <c r="C37" s="5" t="s">
        <v>19</v>
      </c>
      <c r="D37" s="5">
        <v>28</v>
      </c>
      <c r="E37" s="10">
        <v>44296</v>
      </c>
      <c r="F37" s="10">
        <f t="shared" ca="1" si="1"/>
        <v>45573</v>
      </c>
      <c r="G37" s="5">
        <f ca="1">staff[[#This Row],[current date]]-staff[[#This Row],[Date Joined]]</f>
        <v>1277</v>
      </c>
      <c r="H37" s="11">
        <f ca="1">staff[[#This Row],[tenure]]/365</f>
        <v>3.4986301369863013</v>
      </c>
      <c r="I37" s="24">
        <v>53240</v>
      </c>
      <c r="J37" s="5" t="s">
        <v>16</v>
      </c>
      <c r="K37" s="5" t="s">
        <v>207</v>
      </c>
      <c r="L37" s="24">
        <f ca="1">ROUNDUP(IF(staff[[#This Row],[tenure in year]]&gt;2,3%,2%)*staff[[#This Row],[Salary]],0)</f>
        <v>1598</v>
      </c>
      <c r="M37" s="5">
        <f>_xlfn.XLOOKUP(staff[[#This Row],[Rating]],Sheet6!$B$3:$B$7,Sheet6!$C$3:$C$7)</f>
        <v>3</v>
      </c>
    </row>
    <row r="38" spans="1:13">
      <c r="A38" s="5" t="s">
        <v>65</v>
      </c>
      <c r="B38" s="5" t="s">
        <v>15</v>
      </c>
      <c r="C38" s="5" t="s">
        <v>19</v>
      </c>
      <c r="D38" s="5">
        <v>32</v>
      </c>
      <c r="E38" s="10">
        <v>44465</v>
      </c>
      <c r="F38" s="10">
        <f t="shared" ca="1" si="1"/>
        <v>45573</v>
      </c>
      <c r="G38" s="5">
        <f ca="1">staff[[#This Row],[current date]]-staff[[#This Row],[Date Joined]]</f>
        <v>1108</v>
      </c>
      <c r="H38" s="11">
        <f ca="1">staff[[#This Row],[tenure]]/365</f>
        <v>3.0356164383561643</v>
      </c>
      <c r="I38" s="24">
        <v>53540</v>
      </c>
      <c r="J38" s="5" t="s">
        <v>16</v>
      </c>
      <c r="K38" s="5" t="s">
        <v>205</v>
      </c>
      <c r="L38" s="24">
        <f ca="1">ROUNDUP(IF(staff[[#This Row],[tenure in year]]&gt;2,3%,2%)*staff[[#This Row],[Salary]],0)</f>
        <v>1607</v>
      </c>
      <c r="M38" s="5">
        <f>_xlfn.XLOOKUP(staff[[#This Row],[Rating]],Sheet6!$B$3:$B$7,Sheet6!$C$3:$C$7)</f>
        <v>3</v>
      </c>
    </row>
    <row r="39" spans="1:13">
      <c r="A39" s="5" t="s">
        <v>46</v>
      </c>
      <c r="B39" s="5" t="s">
        <v>15</v>
      </c>
      <c r="C39" s="5" t="s">
        <v>9</v>
      </c>
      <c r="D39" s="5">
        <v>26</v>
      </c>
      <c r="E39" s="10">
        <v>44411</v>
      </c>
      <c r="F39" s="10">
        <f t="shared" ca="1" si="1"/>
        <v>45573</v>
      </c>
      <c r="G39" s="5">
        <f ca="1">staff[[#This Row],[current date]]-staff[[#This Row],[Date Joined]]</f>
        <v>1162</v>
      </c>
      <c r="H39" s="11">
        <f ca="1">staff[[#This Row],[tenure]]/365</f>
        <v>3.1835616438356165</v>
      </c>
      <c r="I39" s="24">
        <v>53540</v>
      </c>
      <c r="J39" s="5" t="s">
        <v>16</v>
      </c>
      <c r="K39" s="5" t="s">
        <v>205</v>
      </c>
      <c r="L39" s="24">
        <f ca="1">ROUNDUP(IF(staff[[#This Row],[tenure in year]]&gt;2,3%,2%)*staff[[#This Row],[Salary]],0)</f>
        <v>1607</v>
      </c>
      <c r="M39" s="5">
        <f>_xlfn.XLOOKUP(staff[[#This Row],[Rating]],Sheet6!$B$3:$B$7,Sheet6!$C$3:$C$7)</f>
        <v>3</v>
      </c>
    </row>
    <row r="40" spans="1:13">
      <c r="A40" s="5" t="s">
        <v>157</v>
      </c>
      <c r="B40" s="5" t="s">
        <v>15</v>
      </c>
      <c r="C40" s="5" t="s">
        <v>19</v>
      </c>
      <c r="D40" s="5">
        <v>32</v>
      </c>
      <c r="E40" s="10">
        <v>44403</v>
      </c>
      <c r="F40" s="10">
        <f t="shared" ca="1" si="1"/>
        <v>45573</v>
      </c>
      <c r="G40" s="5">
        <f ca="1">staff[[#This Row],[current date]]-staff[[#This Row],[Date Joined]]</f>
        <v>1170</v>
      </c>
      <c r="H40" s="11">
        <f ca="1">staff[[#This Row],[tenure]]/365</f>
        <v>3.2054794520547945</v>
      </c>
      <c r="I40" s="24">
        <v>53540</v>
      </c>
      <c r="J40" s="5" t="s">
        <v>16</v>
      </c>
      <c r="K40" s="5" t="s">
        <v>207</v>
      </c>
      <c r="L40" s="24">
        <f ca="1">ROUNDUP(IF(staff[[#This Row],[tenure in year]]&gt;2,3%,2%)*staff[[#This Row],[Salary]],0)</f>
        <v>1607</v>
      </c>
      <c r="M40" s="5">
        <f>_xlfn.XLOOKUP(staff[[#This Row],[Rating]],Sheet6!$B$3:$B$7,Sheet6!$C$3:$C$7)</f>
        <v>3</v>
      </c>
    </row>
    <row r="41" spans="1:13">
      <c r="A41" s="5" t="s">
        <v>139</v>
      </c>
      <c r="B41" s="5" t="s">
        <v>15</v>
      </c>
      <c r="C41" s="5" t="s">
        <v>9</v>
      </c>
      <c r="D41" s="5">
        <v>26</v>
      </c>
      <c r="E41" s="10">
        <v>44350</v>
      </c>
      <c r="F41" s="10">
        <f t="shared" ca="1" si="1"/>
        <v>45573</v>
      </c>
      <c r="G41" s="5">
        <f ca="1">staff[[#This Row],[current date]]-staff[[#This Row],[Date Joined]]</f>
        <v>1223</v>
      </c>
      <c r="H41" s="11">
        <f ca="1">staff[[#This Row],[tenure]]/365</f>
        <v>3.3506849315068492</v>
      </c>
      <c r="I41" s="24">
        <v>53540</v>
      </c>
      <c r="J41" s="5" t="s">
        <v>16</v>
      </c>
      <c r="K41" s="5" t="s">
        <v>207</v>
      </c>
      <c r="L41" s="24">
        <f ca="1">ROUNDUP(IF(staff[[#This Row],[tenure in year]]&gt;2,3%,2%)*staff[[#This Row],[Salary]],0)</f>
        <v>1607</v>
      </c>
      <c r="M41" s="5">
        <f>_xlfn.XLOOKUP(staff[[#This Row],[Rating]],Sheet6!$B$3:$B$7,Sheet6!$C$3:$C$7)</f>
        <v>3</v>
      </c>
    </row>
    <row r="42" spans="1:13">
      <c r="A42" s="5" t="s">
        <v>82</v>
      </c>
      <c r="B42" s="5" t="s">
        <v>15</v>
      </c>
      <c r="C42" s="5" t="s">
        <v>12</v>
      </c>
      <c r="D42" s="5">
        <v>33</v>
      </c>
      <c r="E42" s="10">
        <v>44509</v>
      </c>
      <c r="F42" s="10">
        <f t="shared" ca="1" si="1"/>
        <v>45573</v>
      </c>
      <c r="G42" s="5">
        <f ca="1">staff[[#This Row],[current date]]-staff[[#This Row],[Date Joined]]</f>
        <v>1064</v>
      </c>
      <c r="H42" s="11">
        <f ca="1">staff[[#This Row],[tenure]]/365</f>
        <v>2.9150684931506849</v>
      </c>
      <c r="I42" s="24">
        <v>53870</v>
      </c>
      <c r="J42" s="5" t="s">
        <v>16</v>
      </c>
      <c r="K42" s="5" t="s">
        <v>205</v>
      </c>
      <c r="L42" s="24">
        <f ca="1">ROUNDUP(IF(staff[[#This Row],[tenure in year]]&gt;2,3%,2%)*staff[[#This Row],[Salary]],0)</f>
        <v>1617</v>
      </c>
      <c r="M42" s="5">
        <f>_xlfn.XLOOKUP(staff[[#This Row],[Rating]],Sheet6!$B$3:$B$7,Sheet6!$C$3:$C$7)</f>
        <v>3</v>
      </c>
    </row>
    <row r="43" spans="1:13">
      <c r="A43" s="5" t="s">
        <v>174</v>
      </c>
      <c r="B43" s="5" t="s">
        <v>15</v>
      </c>
      <c r="C43" s="5" t="s">
        <v>12</v>
      </c>
      <c r="D43" s="5">
        <v>33</v>
      </c>
      <c r="E43" s="10">
        <v>44448</v>
      </c>
      <c r="F43" s="10">
        <f t="shared" ca="1" si="1"/>
        <v>45573</v>
      </c>
      <c r="G43" s="5">
        <f ca="1">staff[[#This Row],[current date]]-staff[[#This Row],[Date Joined]]</f>
        <v>1125</v>
      </c>
      <c r="H43" s="11">
        <f ca="1">staff[[#This Row],[tenure]]/365</f>
        <v>3.0821917808219177</v>
      </c>
      <c r="I43" s="24">
        <v>53870</v>
      </c>
      <c r="J43" s="5" t="s">
        <v>16</v>
      </c>
      <c r="K43" s="5" t="s">
        <v>207</v>
      </c>
      <c r="L43" s="24">
        <f ca="1">ROUNDUP(IF(staff[[#This Row],[tenure in year]]&gt;2,3%,2%)*staff[[#This Row],[Salary]],0)</f>
        <v>1617</v>
      </c>
      <c r="M43" s="5">
        <f>_xlfn.XLOOKUP(staff[[#This Row],[Rating]],Sheet6!$B$3:$B$7,Sheet6!$C$3:$C$7)</f>
        <v>3</v>
      </c>
    </row>
    <row r="44" spans="1:13">
      <c r="A44" s="5" t="s">
        <v>89</v>
      </c>
      <c r="B44" s="5" t="s">
        <v>15</v>
      </c>
      <c r="C44" s="5" t="s">
        <v>19</v>
      </c>
      <c r="D44" s="5">
        <v>27</v>
      </c>
      <c r="E44" s="10">
        <v>44134</v>
      </c>
      <c r="F44" s="10">
        <f t="shared" ca="1" si="1"/>
        <v>45573</v>
      </c>
      <c r="G44" s="5">
        <f ca="1">staff[[#This Row],[current date]]-staff[[#This Row],[Date Joined]]</f>
        <v>1439</v>
      </c>
      <c r="H44" s="11">
        <f ca="1">staff[[#This Row],[tenure]]/365</f>
        <v>3.9424657534246577</v>
      </c>
      <c r="I44" s="24">
        <v>54970</v>
      </c>
      <c r="J44" s="5" t="s">
        <v>16</v>
      </c>
      <c r="K44" s="5" t="s">
        <v>205</v>
      </c>
      <c r="L44" s="24">
        <f ca="1">ROUNDUP(IF(staff[[#This Row],[tenure in year]]&gt;2,3%,2%)*staff[[#This Row],[Salary]],0)</f>
        <v>1650</v>
      </c>
      <c r="M44" s="5">
        <f>_xlfn.XLOOKUP(staff[[#This Row],[Rating]],Sheet6!$B$3:$B$7,Sheet6!$C$3:$C$7)</f>
        <v>3</v>
      </c>
    </row>
    <row r="45" spans="1:13">
      <c r="A45" s="5" t="s">
        <v>182</v>
      </c>
      <c r="B45" s="5" t="s">
        <v>15</v>
      </c>
      <c r="C45" s="5" t="s">
        <v>19</v>
      </c>
      <c r="D45" s="5">
        <v>27</v>
      </c>
      <c r="E45" s="10">
        <v>44073</v>
      </c>
      <c r="F45" s="10">
        <f t="shared" ca="1" si="1"/>
        <v>45573</v>
      </c>
      <c r="G45" s="5">
        <f ca="1">staff[[#This Row],[current date]]-staff[[#This Row],[Date Joined]]</f>
        <v>1500</v>
      </c>
      <c r="H45" s="11">
        <f ca="1">staff[[#This Row],[tenure]]/365</f>
        <v>4.1095890410958908</v>
      </c>
      <c r="I45" s="24">
        <v>54970</v>
      </c>
      <c r="J45" s="5" t="s">
        <v>16</v>
      </c>
      <c r="K45" s="5" t="s">
        <v>207</v>
      </c>
      <c r="L45" s="24">
        <f ca="1">ROUNDUP(IF(staff[[#This Row],[tenure in year]]&gt;2,3%,2%)*staff[[#This Row],[Salary]],0)</f>
        <v>1650</v>
      </c>
      <c r="M45" s="5">
        <f>_xlfn.XLOOKUP(staff[[#This Row],[Rating]],Sheet6!$B$3:$B$7,Sheet6!$C$3:$C$7)</f>
        <v>3</v>
      </c>
    </row>
    <row r="46" spans="1:13">
      <c r="A46" s="5" t="s">
        <v>109</v>
      </c>
      <c r="B46" s="5" t="s">
        <v>8</v>
      </c>
      <c r="C46" s="5" t="s">
        <v>19</v>
      </c>
      <c r="D46" s="5">
        <v>38</v>
      </c>
      <c r="E46" s="10">
        <v>44329</v>
      </c>
      <c r="F46" s="10">
        <f t="shared" ca="1" si="1"/>
        <v>45573</v>
      </c>
      <c r="G46" s="5">
        <f ca="1">staff[[#This Row],[current date]]-staff[[#This Row],[Date Joined]]</f>
        <v>1244</v>
      </c>
      <c r="H46" s="11">
        <f ca="1">staff[[#This Row],[tenure]]/365</f>
        <v>3.408219178082192</v>
      </c>
      <c r="I46" s="24">
        <v>56870</v>
      </c>
      <c r="J46" s="5" t="s">
        <v>13</v>
      </c>
      <c r="K46" s="5" t="s">
        <v>205</v>
      </c>
      <c r="L46" s="24">
        <f ca="1">ROUNDUP(IF(staff[[#This Row],[tenure in year]]&gt;2,3%,2%)*staff[[#This Row],[Salary]],0)</f>
        <v>1707</v>
      </c>
      <c r="M46" s="5">
        <f>_xlfn.XLOOKUP(staff[[#This Row],[Rating]],Sheet6!$B$3:$B$7,Sheet6!$C$3:$C$7)</f>
        <v>4</v>
      </c>
    </row>
    <row r="47" spans="1:13">
      <c r="A47" s="5" t="s">
        <v>202</v>
      </c>
      <c r="B47" s="5" t="s">
        <v>8</v>
      </c>
      <c r="C47" s="5" t="s">
        <v>19</v>
      </c>
      <c r="D47" s="5">
        <v>38</v>
      </c>
      <c r="E47" s="10">
        <v>44268</v>
      </c>
      <c r="F47" s="10">
        <f t="shared" ca="1" si="1"/>
        <v>45573</v>
      </c>
      <c r="G47" s="5">
        <f ca="1">staff[[#This Row],[current date]]-staff[[#This Row],[Date Joined]]</f>
        <v>1305</v>
      </c>
      <c r="H47" s="11">
        <f ca="1">staff[[#This Row],[tenure]]/365</f>
        <v>3.5753424657534247</v>
      </c>
      <c r="I47" s="24">
        <v>56870</v>
      </c>
      <c r="J47" s="5" t="s">
        <v>13</v>
      </c>
      <c r="K47" s="5" t="s">
        <v>207</v>
      </c>
      <c r="L47" s="24">
        <f ca="1">ROUNDUP(IF(staff[[#This Row],[tenure in year]]&gt;2,3%,2%)*staff[[#This Row],[Salary]],0)</f>
        <v>1707</v>
      </c>
      <c r="M47" s="5">
        <f>_xlfn.XLOOKUP(staff[[#This Row],[Rating]],Sheet6!$B$3:$B$7,Sheet6!$C$3:$C$7)</f>
        <v>4</v>
      </c>
    </row>
    <row r="48" spans="1:13">
      <c r="A48" s="5" t="s">
        <v>31</v>
      </c>
      <c r="B48" s="5" t="s">
        <v>15</v>
      </c>
      <c r="C48" s="5" t="s">
        <v>9</v>
      </c>
      <c r="D48" s="5">
        <v>21</v>
      </c>
      <c r="E48" s="10">
        <v>44762</v>
      </c>
      <c r="F48" s="10">
        <f t="shared" ca="1" si="1"/>
        <v>45573</v>
      </c>
      <c r="G48" s="5">
        <f ca="1">staff[[#This Row],[current date]]-staff[[#This Row],[Date Joined]]</f>
        <v>811</v>
      </c>
      <c r="H48" s="11">
        <f ca="1">staff[[#This Row],[tenure]]/365</f>
        <v>2.2219178082191782</v>
      </c>
      <c r="I48" s="24">
        <v>57090</v>
      </c>
      <c r="J48" s="5" t="s">
        <v>16</v>
      </c>
      <c r="K48" s="5" t="s">
        <v>205</v>
      </c>
      <c r="L48" s="24">
        <f ca="1">ROUNDUP(IF(staff[[#This Row],[tenure in year]]&gt;2,3%,2%)*staff[[#This Row],[Salary]],0)</f>
        <v>1713</v>
      </c>
      <c r="M48" s="5">
        <f>_xlfn.XLOOKUP(staff[[#This Row],[Rating]],Sheet6!$B$3:$B$7,Sheet6!$C$3:$C$7)</f>
        <v>3</v>
      </c>
    </row>
    <row r="49" spans="1:13">
      <c r="A49" s="5" t="s">
        <v>125</v>
      </c>
      <c r="B49" s="5" t="s">
        <v>15</v>
      </c>
      <c r="C49" s="5" t="s">
        <v>9</v>
      </c>
      <c r="D49" s="5">
        <v>21</v>
      </c>
      <c r="E49" s="10">
        <v>44701</v>
      </c>
      <c r="F49" s="10">
        <f t="shared" ca="1" si="1"/>
        <v>45573</v>
      </c>
      <c r="G49" s="5">
        <f ca="1">staff[[#This Row],[current date]]-staff[[#This Row],[Date Joined]]</f>
        <v>872</v>
      </c>
      <c r="H49" s="11">
        <f ca="1">staff[[#This Row],[tenure]]/365</f>
        <v>2.3890410958904109</v>
      </c>
      <c r="I49" s="24">
        <v>57090</v>
      </c>
      <c r="J49" s="5" t="s">
        <v>16</v>
      </c>
      <c r="K49" s="5" t="s">
        <v>207</v>
      </c>
      <c r="L49" s="24">
        <f ca="1">ROUNDUP(IF(staff[[#This Row],[tenure in year]]&gt;2,3%,2%)*staff[[#This Row],[Salary]],0)</f>
        <v>1713</v>
      </c>
      <c r="M49" s="5">
        <f>_xlfn.XLOOKUP(staff[[#This Row],[Rating]],Sheet6!$B$3:$B$7,Sheet6!$C$3:$C$7)</f>
        <v>3</v>
      </c>
    </row>
    <row r="50" spans="1:13">
      <c r="A50" s="5" t="s">
        <v>26</v>
      </c>
      <c r="B50" s="5" t="s">
        <v>8</v>
      </c>
      <c r="C50" s="5" t="s">
        <v>12</v>
      </c>
      <c r="D50" s="5">
        <v>31</v>
      </c>
      <c r="E50" s="10">
        <v>44663</v>
      </c>
      <c r="F50" s="10">
        <f t="shared" ca="1" si="1"/>
        <v>45573</v>
      </c>
      <c r="G50" s="5">
        <f ca="1">staff[[#This Row],[current date]]-staff[[#This Row],[Date Joined]]</f>
        <v>910</v>
      </c>
      <c r="H50" s="11">
        <f ca="1">staff[[#This Row],[tenure]]/365</f>
        <v>2.493150684931507</v>
      </c>
      <c r="I50" s="24">
        <v>58100</v>
      </c>
      <c r="J50" s="5" t="s">
        <v>16</v>
      </c>
      <c r="K50" s="5" t="s">
        <v>205</v>
      </c>
      <c r="L50" s="24">
        <f ca="1">ROUNDUP(IF(staff[[#This Row],[tenure in year]]&gt;2,3%,2%)*staff[[#This Row],[Salary]],0)</f>
        <v>1743</v>
      </c>
      <c r="M50" s="5">
        <f>_xlfn.XLOOKUP(staff[[#This Row],[Rating]],Sheet6!$B$3:$B$7,Sheet6!$C$3:$C$7)</f>
        <v>3</v>
      </c>
    </row>
    <row r="51" spans="1:13">
      <c r="A51" s="5" t="s">
        <v>120</v>
      </c>
      <c r="B51" s="5" t="s">
        <v>8</v>
      </c>
      <c r="C51" s="5" t="s">
        <v>12</v>
      </c>
      <c r="D51" s="5">
        <v>31</v>
      </c>
      <c r="E51" s="10">
        <v>44604</v>
      </c>
      <c r="F51" s="10">
        <f t="shared" ca="1" si="1"/>
        <v>45573</v>
      </c>
      <c r="G51" s="5">
        <f ca="1">staff[[#This Row],[current date]]-staff[[#This Row],[Date Joined]]</f>
        <v>969</v>
      </c>
      <c r="H51" s="11">
        <f ca="1">staff[[#This Row],[tenure]]/365</f>
        <v>2.6547945205479451</v>
      </c>
      <c r="I51" s="24">
        <v>58100</v>
      </c>
      <c r="J51" s="5" t="s">
        <v>16</v>
      </c>
      <c r="K51" s="5" t="s">
        <v>207</v>
      </c>
      <c r="L51" s="24">
        <f ca="1">ROUNDUP(IF(staff[[#This Row],[tenure in year]]&gt;2,3%,2%)*staff[[#This Row],[Salary]],0)</f>
        <v>1743</v>
      </c>
      <c r="M51" s="5">
        <f>_xlfn.XLOOKUP(staff[[#This Row],[Rating]],Sheet6!$B$3:$B$7,Sheet6!$C$3:$C$7)</f>
        <v>3</v>
      </c>
    </row>
    <row r="52" spans="1:13">
      <c r="A52" s="5" t="s">
        <v>36</v>
      </c>
      <c r="B52" s="5" t="s">
        <v>8</v>
      </c>
      <c r="C52" s="5" t="s">
        <v>21</v>
      </c>
      <c r="D52" s="5">
        <v>34</v>
      </c>
      <c r="E52" s="10">
        <v>44653</v>
      </c>
      <c r="F52" s="10">
        <f t="shared" ca="1" si="1"/>
        <v>45573</v>
      </c>
      <c r="G52" s="5">
        <f ca="1">staff[[#This Row],[current date]]-staff[[#This Row],[Date Joined]]</f>
        <v>920</v>
      </c>
      <c r="H52" s="11">
        <f ca="1">staff[[#This Row],[tenure]]/365</f>
        <v>2.5205479452054793</v>
      </c>
      <c r="I52" s="24">
        <v>58940</v>
      </c>
      <c r="J52" s="5" t="s">
        <v>16</v>
      </c>
      <c r="K52" s="5" t="s">
        <v>205</v>
      </c>
      <c r="L52" s="24">
        <f ca="1">ROUNDUP(IF(staff[[#This Row],[tenure in year]]&gt;2,3%,2%)*staff[[#This Row],[Salary]],0)</f>
        <v>1769</v>
      </c>
      <c r="M52" s="5">
        <f>_xlfn.XLOOKUP(staff[[#This Row],[Rating]],Sheet6!$B$3:$B$7,Sheet6!$C$3:$C$7)</f>
        <v>3</v>
      </c>
    </row>
    <row r="53" spans="1:13">
      <c r="A53" s="5" t="s">
        <v>130</v>
      </c>
      <c r="B53" s="5" t="s">
        <v>8</v>
      </c>
      <c r="C53" s="5" t="s">
        <v>21</v>
      </c>
      <c r="D53" s="5">
        <v>34</v>
      </c>
      <c r="E53" s="10">
        <v>44594</v>
      </c>
      <c r="F53" s="10">
        <f t="shared" ca="1" si="1"/>
        <v>45573</v>
      </c>
      <c r="G53" s="5">
        <f ca="1">staff[[#This Row],[current date]]-staff[[#This Row],[Date Joined]]</f>
        <v>979</v>
      </c>
      <c r="H53" s="11">
        <f ca="1">staff[[#This Row],[tenure]]/365</f>
        <v>2.6821917808219178</v>
      </c>
      <c r="I53" s="24">
        <v>58940</v>
      </c>
      <c r="J53" s="5" t="s">
        <v>16</v>
      </c>
      <c r="K53" s="5" t="s">
        <v>207</v>
      </c>
      <c r="L53" s="24">
        <f ca="1">ROUNDUP(IF(staff[[#This Row],[tenure in year]]&gt;2,3%,2%)*staff[[#This Row],[Salary]],0)</f>
        <v>1769</v>
      </c>
      <c r="M53" s="5">
        <f>_xlfn.XLOOKUP(staff[[#This Row],[Rating]],Sheet6!$B$3:$B$7,Sheet6!$C$3:$C$7)</f>
        <v>3</v>
      </c>
    </row>
    <row r="54" spans="1:13">
      <c r="A54" s="5" t="s">
        <v>100</v>
      </c>
      <c r="B54" s="5" t="s">
        <v>15</v>
      </c>
      <c r="C54" s="5" t="s">
        <v>9</v>
      </c>
      <c r="D54" s="5">
        <v>19</v>
      </c>
      <c r="E54" s="10">
        <v>44277</v>
      </c>
      <c r="F54" s="10">
        <f t="shared" ca="1" si="1"/>
        <v>45573</v>
      </c>
      <c r="G54" s="5">
        <f ca="1">staff[[#This Row],[current date]]-staff[[#This Row],[Date Joined]]</f>
        <v>1296</v>
      </c>
      <c r="H54" s="11">
        <f ca="1">staff[[#This Row],[tenure]]/365</f>
        <v>3.5506849315068494</v>
      </c>
      <c r="I54" s="24">
        <v>58960</v>
      </c>
      <c r="J54" s="5" t="s">
        <v>16</v>
      </c>
      <c r="K54" s="5" t="s">
        <v>205</v>
      </c>
      <c r="L54" s="24">
        <f ca="1">ROUNDUP(IF(staff[[#This Row],[tenure in year]]&gt;2,3%,2%)*staff[[#This Row],[Salary]],0)</f>
        <v>1769</v>
      </c>
      <c r="M54" s="5">
        <f>_xlfn.XLOOKUP(staff[[#This Row],[Rating]],Sheet6!$B$3:$B$7,Sheet6!$C$3:$C$7)</f>
        <v>3</v>
      </c>
    </row>
    <row r="55" spans="1:13">
      <c r="A55" s="5" t="s">
        <v>193</v>
      </c>
      <c r="B55" s="5" t="s">
        <v>15</v>
      </c>
      <c r="C55" s="5" t="s">
        <v>9</v>
      </c>
      <c r="D55" s="5">
        <v>19</v>
      </c>
      <c r="E55" s="10">
        <v>44218</v>
      </c>
      <c r="F55" s="10">
        <f t="shared" ca="1" si="1"/>
        <v>45573</v>
      </c>
      <c r="G55" s="5">
        <f ca="1">staff[[#This Row],[current date]]-staff[[#This Row],[Date Joined]]</f>
        <v>1355</v>
      </c>
      <c r="H55" s="11">
        <f ca="1">staff[[#This Row],[tenure]]/365</f>
        <v>3.7123287671232879</v>
      </c>
      <c r="I55" s="24">
        <v>58960</v>
      </c>
      <c r="J55" s="5" t="s">
        <v>16</v>
      </c>
      <c r="K55" s="5" t="s">
        <v>207</v>
      </c>
      <c r="L55" s="24">
        <f ca="1">ROUNDUP(IF(staff[[#This Row],[tenure in year]]&gt;2,3%,2%)*staff[[#This Row],[Salary]],0)</f>
        <v>1769</v>
      </c>
      <c r="M55" s="5">
        <f>_xlfn.XLOOKUP(staff[[#This Row],[Rating]],Sheet6!$B$3:$B$7,Sheet6!$C$3:$C$7)</f>
        <v>3</v>
      </c>
    </row>
    <row r="56" spans="1:13">
      <c r="A56" s="5" t="s">
        <v>79</v>
      </c>
      <c r="B56" s="5" t="s">
        <v>15</v>
      </c>
      <c r="C56" s="5" t="s">
        <v>21</v>
      </c>
      <c r="D56" s="5">
        <v>33</v>
      </c>
      <c r="E56" s="10">
        <v>44243</v>
      </c>
      <c r="F56" s="10">
        <f t="shared" ca="1" si="1"/>
        <v>45573</v>
      </c>
      <c r="G56" s="5">
        <f ca="1">staff[[#This Row],[current date]]-staff[[#This Row],[Date Joined]]</f>
        <v>1330</v>
      </c>
      <c r="H56" s="11">
        <f ca="1">staff[[#This Row],[tenure]]/365</f>
        <v>3.6438356164383561</v>
      </c>
      <c r="I56" s="24">
        <v>59430</v>
      </c>
      <c r="J56" s="5" t="s">
        <v>16</v>
      </c>
      <c r="K56" s="5" t="s">
        <v>205</v>
      </c>
      <c r="L56" s="24">
        <f ca="1">ROUNDUP(IF(staff[[#This Row],[tenure in year]]&gt;2,3%,2%)*staff[[#This Row],[Salary]],0)</f>
        <v>1783</v>
      </c>
      <c r="M56" s="5">
        <f>_xlfn.XLOOKUP(staff[[#This Row],[Rating]],Sheet6!$B$3:$B$7,Sheet6!$C$3:$C$7)</f>
        <v>3</v>
      </c>
    </row>
    <row r="57" spans="1:13">
      <c r="A57" s="5" t="s">
        <v>171</v>
      </c>
      <c r="B57" s="5" t="s">
        <v>15</v>
      </c>
      <c r="C57" s="5" t="s">
        <v>21</v>
      </c>
      <c r="D57" s="5">
        <v>33</v>
      </c>
      <c r="E57" s="10">
        <v>44181</v>
      </c>
      <c r="F57" s="10">
        <f t="shared" ca="1" si="1"/>
        <v>45573</v>
      </c>
      <c r="G57" s="5">
        <f ca="1">staff[[#This Row],[current date]]-staff[[#This Row],[Date Joined]]</f>
        <v>1392</v>
      </c>
      <c r="H57" s="11">
        <f ca="1">staff[[#This Row],[tenure]]/365</f>
        <v>3.8136986301369862</v>
      </c>
      <c r="I57" s="24">
        <v>59430</v>
      </c>
      <c r="J57" s="5" t="s">
        <v>16</v>
      </c>
      <c r="K57" s="5" t="s">
        <v>207</v>
      </c>
      <c r="L57" s="24">
        <f ca="1">ROUNDUP(IF(staff[[#This Row],[tenure in year]]&gt;2,3%,2%)*staff[[#This Row],[Salary]],0)</f>
        <v>1783</v>
      </c>
      <c r="M57" s="5">
        <f>_xlfn.XLOOKUP(staff[[#This Row],[Rating]],Sheet6!$B$3:$B$7,Sheet6!$C$3:$C$7)</f>
        <v>3</v>
      </c>
    </row>
    <row r="58" spans="1:13">
      <c r="A58" s="5" t="s">
        <v>38</v>
      </c>
      <c r="B58" s="5" t="s">
        <v>8</v>
      </c>
      <c r="C58" s="5" t="s">
        <v>21</v>
      </c>
      <c r="D58" s="5">
        <v>34</v>
      </c>
      <c r="E58" s="10">
        <v>44612</v>
      </c>
      <c r="F58" s="10">
        <f t="shared" ca="1" si="1"/>
        <v>45573</v>
      </c>
      <c r="G58" s="5">
        <f ca="1">staff[[#This Row],[current date]]-staff[[#This Row],[Date Joined]]</f>
        <v>961</v>
      </c>
      <c r="H58" s="11">
        <f ca="1">staff[[#This Row],[tenure]]/365</f>
        <v>2.6328767123287671</v>
      </c>
      <c r="I58" s="24">
        <v>60130</v>
      </c>
      <c r="J58" s="5" t="s">
        <v>16</v>
      </c>
      <c r="K58" s="5" t="s">
        <v>205</v>
      </c>
      <c r="L58" s="24">
        <f ca="1">ROUNDUP(IF(staff[[#This Row],[tenure in year]]&gt;2,3%,2%)*staff[[#This Row],[Salary]],0)</f>
        <v>1804</v>
      </c>
      <c r="M58" s="5">
        <f>_xlfn.XLOOKUP(staff[[#This Row],[Rating]],Sheet6!$B$3:$B$7,Sheet6!$C$3:$C$7)</f>
        <v>3</v>
      </c>
    </row>
    <row r="59" spans="1:13">
      <c r="A59" s="5" t="s">
        <v>132</v>
      </c>
      <c r="B59" s="5" t="s">
        <v>8</v>
      </c>
      <c r="C59" s="5" t="s">
        <v>21</v>
      </c>
      <c r="D59" s="5">
        <v>34</v>
      </c>
      <c r="E59" s="10">
        <v>44550</v>
      </c>
      <c r="F59" s="10">
        <f t="shared" ca="1" si="1"/>
        <v>45573</v>
      </c>
      <c r="G59" s="5">
        <f ca="1">staff[[#This Row],[current date]]-staff[[#This Row],[Date Joined]]</f>
        <v>1023</v>
      </c>
      <c r="H59" s="11">
        <f ca="1">staff[[#This Row],[tenure]]/365</f>
        <v>2.8027397260273972</v>
      </c>
      <c r="I59" s="24">
        <v>60130</v>
      </c>
      <c r="J59" s="5" t="s">
        <v>16</v>
      </c>
      <c r="K59" s="5" t="s">
        <v>207</v>
      </c>
      <c r="L59" s="24">
        <f ca="1">ROUNDUP(IF(staff[[#This Row],[tenure in year]]&gt;2,3%,2%)*staff[[#This Row],[Salary]],0)</f>
        <v>1804</v>
      </c>
      <c r="M59" s="5">
        <f>_xlfn.XLOOKUP(staff[[#This Row],[Rating]],Sheet6!$B$3:$B$7,Sheet6!$C$3:$C$7)</f>
        <v>3</v>
      </c>
    </row>
    <row r="60" spans="1:13">
      <c r="A60" s="5" t="s">
        <v>37</v>
      </c>
      <c r="B60" s="5" t="s">
        <v>15</v>
      </c>
      <c r="C60" s="5" t="s">
        <v>9</v>
      </c>
      <c r="D60" s="5">
        <v>30</v>
      </c>
      <c r="E60" s="10">
        <v>44666</v>
      </c>
      <c r="F60" s="10">
        <f t="shared" ca="1" si="1"/>
        <v>45573</v>
      </c>
      <c r="G60" s="5">
        <f ca="1">staff[[#This Row],[current date]]-staff[[#This Row],[Date Joined]]</f>
        <v>907</v>
      </c>
      <c r="H60" s="11">
        <f ca="1">staff[[#This Row],[tenure]]/365</f>
        <v>2.484931506849315</v>
      </c>
      <c r="I60" s="24">
        <v>60570</v>
      </c>
      <c r="J60" s="5" t="s">
        <v>16</v>
      </c>
      <c r="K60" s="5" t="s">
        <v>205</v>
      </c>
      <c r="L60" s="24">
        <f ca="1">ROUNDUP(IF(staff[[#This Row],[tenure in year]]&gt;2,3%,2%)*staff[[#This Row],[Salary]],0)</f>
        <v>1818</v>
      </c>
      <c r="M60" s="5">
        <f>_xlfn.XLOOKUP(staff[[#This Row],[Rating]],Sheet6!$B$3:$B$7,Sheet6!$C$3:$C$7)</f>
        <v>3</v>
      </c>
    </row>
    <row r="61" spans="1:13">
      <c r="A61" s="5" t="s">
        <v>131</v>
      </c>
      <c r="B61" s="5" t="s">
        <v>15</v>
      </c>
      <c r="C61" s="5" t="s">
        <v>9</v>
      </c>
      <c r="D61" s="5">
        <v>30</v>
      </c>
      <c r="E61" s="10">
        <v>44607</v>
      </c>
      <c r="F61" s="10">
        <f t="shared" ca="1" si="1"/>
        <v>45573</v>
      </c>
      <c r="G61" s="5">
        <f ca="1">staff[[#This Row],[current date]]-staff[[#This Row],[Date Joined]]</f>
        <v>966</v>
      </c>
      <c r="H61" s="11">
        <f ca="1">staff[[#This Row],[tenure]]/365</f>
        <v>2.6465753424657534</v>
      </c>
      <c r="I61" s="24">
        <v>60570</v>
      </c>
      <c r="J61" s="5" t="s">
        <v>16</v>
      </c>
      <c r="K61" s="5" t="s">
        <v>207</v>
      </c>
      <c r="L61" s="24">
        <f ca="1">ROUNDUP(IF(staff[[#This Row],[tenure in year]]&gt;2,3%,2%)*staff[[#This Row],[Salary]],0)</f>
        <v>1818</v>
      </c>
      <c r="M61" s="5">
        <f>_xlfn.XLOOKUP(staff[[#This Row],[Rating]],Sheet6!$B$3:$B$7,Sheet6!$C$3:$C$7)</f>
        <v>3</v>
      </c>
    </row>
    <row r="62" spans="1:13">
      <c r="A62" s="5" t="s">
        <v>61</v>
      </c>
      <c r="B62" s="5" t="s">
        <v>8</v>
      </c>
      <c r="C62" s="5" t="s">
        <v>12</v>
      </c>
      <c r="D62" s="5">
        <v>24</v>
      </c>
      <c r="E62" s="10">
        <v>44148</v>
      </c>
      <c r="F62" s="10">
        <f t="shared" ca="1" si="1"/>
        <v>45573</v>
      </c>
      <c r="G62" s="5">
        <f ca="1">staff[[#This Row],[current date]]-staff[[#This Row],[Date Joined]]</f>
        <v>1425</v>
      </c>
      <c r="H62" s="11">
        <f ca="1">staff[[#This Row],[tenure]]/365</f>
        <v>3.904109589041096</v>
      </c>
      <c r="I62" s="24">
        <v>62780</v>
      </c>
      <c r="J62" s="5" t="s">
        <v>16</v>
      </c>
      <c r="K62" s="5" t="s">
        <v>205</v>
      </c>
      <c r="L62" s="24">
        <f ca="1">ROUNDUP(IF(staff[[#This Row],[tenure in year]]&gt;2,3%,2%)*staff[[#This Row],[Salary]],0)</f>
        <v>1884</v>
      </c>
      <c r="M62" s="5">
        <f>_xlfn.XLOOKUP(staff[[#This Row],[Rating]],Sheet6!$B$3:$B$7,Sheet6!$C$3:$C$7)</f>
        <v>3</v>
      </c>
    </row>
    <row r="63" spans="1:13">
      <c r="A63" s="5" t="s">
        <v>153</v>
      </c>
      <c r="B63" s="5" t="s">
        <v>8</v>
      </c>
      <c r="C63" s="5" t="s">
        <v>12</v>
      </c>
      <c r="D63" s="5">
        <v>24</v>
      </c>
      <c r="E63" s="10">
        <v>44087</v>
      </c>
      <c r="F63" s="10">
        <f t="shared" ca="1" si="1"/>
        <v>45573</v>
      </c>
      <c r="G63" s="5">
        <f ca="1">staff[[#This Row],[current date]]-staff[[#This Row],[Date Joined]]</f>
        <v>1486</v>
      </c>
      <c r="H63" s="11">
        <f ca="1">staff[[#This Row],[tenure]]/365</f>
        <v>4.0712328767123287</v>
      </c>
      <c r="I63" s="24">
        <v>62780</v>
      </c>
      <c r="J63" s="5" t="s">
        <v>16</v>
      </c>
      <c r="K63" s="5" t="s">
        <v>207</v>
      </c>
      <c r="L63" s="24">
        <f ca="1">ROUNDUP(IF(staff[[#This Row],[tenure in year]]&gt;2,3%,2%)*staff[[#This Row],[Salary]],0)</f>
        <v>1884</v>
      </c>
      <c r="M63" s="5">
        <f>_xlfn.XLOOKUP(staff[[#This Row],[Rating]],Sheet6!$B$3:$B$7,Sheet6!$C$3:$C$7)</f>
        <v>3</v>
      </c>
    </row>
    <row r="64" spans="1:13">
      <c r="A64" s="5" t="s">
        <v>20</v>
      </c>
      <c r="B64" s="5" t="s">
        <v>206</v>
      </c>
      <c r="C64" s="5" t="s">
        <v>21</v>
      </c>
      <c r="D64" s="5">
        <v>30</v>
      </c>
      <c r="E64" s="10">
        <v>44597</v>
      </c>
      <c r="F64" s="10">
        <f t="shared" ca="1" si="1"/>
        <v>45573</v>
      </c>
      <c r="G64" s="5">
        <f ca="1">staff[[#This Row],[current date]]-staff[[#This Row],[Date Joined]]</f>
        <v>976</v>
      </c>
      <c r="H64" s="11">
        <f ca="1">staff[[#This Row],[tenure]]/365</f>
        <v>2.6739726027397261</v>
      </c>
      <c r="I64" s="24">
        <v>64000</v>
      </c>
      <c r="J64" s="5" t="s">
        <v>16</v>
      </c>
      <c r="K64" s="5" t="s">
        <v>205</v>
      </c>
      <c r="L64" s="24">
        <f ca="1">ROUNDUP(IF(staff[[#This Row],[tenure in year]]&gt;2,3%,2%)*staff[[#This Row],[Salary]],0)</f>
        <v>1920</v>
      </c>
      <c r="M64" s="5">
        <f>_xlfn.XLOOKUP(staff[[#This Row],[Rating]],Sheet6!$B$3:$B$7,Sheet6!$C$3:$C$7)</f>
        <v>3</v>
      </c>
    </row>
    <row r="65" spans="1:13">
      <c r="A65" s="5" t="s">
        <v>116</v>
      </c>
      <c r="B65" s="5" t="s">
        <v>206</v>
      </c>
      <c r="C65" s="5" t="s">
        <v>21</v>
      </c>
      <c r="D65" s="5">
        <v>30</v>
      </c>
      <c r="E65" s="10">
        <v>44535</v>
      </c>
      <c r="F65" s="10">
        <f t="shared" ca="1" si="1"/>
        <v>45573</v>
      </c>
      <c r="G65" s="5">
        <f ca="1">staff[[#This Row],[current date]]-staff[[#This Row],[Date Joined]]</f>
        <v>1038</v>
      </c>
      <c r="H65" s="11">
        <f ca="1">staff[[#This Row],[tenure]]/365</f>
        <v>2.8438356164383563</v>
      </c>
      <c r="I65" s="24">
        <v>64000</v>
      </c>
      <c r="J65" s="5" t="s">
        <v>16</v>
      </c>
      <c r="K65" s="5" t="s">
        <v>207</v>
      </c>
      <c r="L65" s="24">
        <f ca="1">ROUNDUP(IF(staff[[#This Row],[tenure in year]]&gt;2,3%,2%)*staff[[#This Row],[Salary]],0)</f>
        <v>1920</v>
      </c>
      <c r="M65" s="5">
        <f>_xlfn.XLOOKUP(staff[[#This Row],[Rating]],Sheet6!$B$3:$B$7,Sheet6!$C$3:$C$7)</f>
        <v>3</v>
      </c>
    </row>
    <row r="66" spans="1:13">
      <c r="A66" s="5" t="s">
        <v>93</v>
      </c>
      <c r="B66" s="5" t="s">
        <v>8</v>
      </c>
      <c r="C66" s="5" t="s">
        <v>21</v>
      </c>
      <c r="D66" s="5">
        <v>33</v>
      </c>
      <c r="E66" s="10">
        <v>44067</v>
      </c>
      <c r="F66" s="10">
        <f t="shared" ref="F66:F97" ca="1" si="2">TODAY()</f>
        <v>45573</v>
      </c>
      <c r="G66" s="5">
        <f ca="1">staff[[#This Row],[current date]]-staff[[#This Row],[Date Joined]]</f>
        <v>1506</v>
      </c>
      <c r="H66" s="11">
        <f ca="1">staff[[#This Row],[tenure]]/365</f>
        <v>4.1260273972602741</v>
      </c>
      <c r="I66" s="24">
        <v>65360</v>
      </c>
      <c r="J66" s="5" t="s">
        <v>16</v>
      </c>
      <c r="K66" s="5" t="s">
        <v>205</v>
      </c>
      <c r="L66" s="24">
        <f ca="1">ROUNDUP(IF(staff[[#This Row],[tenure in year]]&gt;2,3%,2%)*staff[[#This Row],[Salary]],0)</f>
        <v>1961</v>
      </c>
      <c r="M66" s="5">
        <f>_xlfn.XLOOKUP(staff[[#This Row],[Rating]],Sheet6!$B$3:$B$7,Sheet6!$C$3:$C$7)</f>
        <v>3</v>
      </c>
    </row>
    <row r="67" spans="1:13">
      <c r="A67" s="5" t="s">
        <v>186</v>
      </c>
      <c r="B67" s="5" t="s">
        <v>8</v>
      </c>
      <c r="C67" s="5" t="s">
        <v>21</v>
      </c>
      <c r="D67" s="5">
        <v>33</v>
      </c>
      <c r="E67" s="10">
        <v>44006</v>
      </c>
      <c r="F67" s="10">
        <f t="shared" ca="1" si="2"/>
        <v>45573</v>
      </c>
      <c r="G67" s="5">
        <f ca="1">staff[[#This Row],[current date]]-staff[[#This Row],[Date Joined]]</f>
        <v>1567</v>
      </c>
      <c r="H67" s="11">
        <f ca="1">staff[[#This Row],[tenure]]/365</f>
        <v>4.2931506849315069</v>
      </c>
      <c r="I67" s="24">
        <v>65360</v>
      </c>
      <c r="J67" s="5" t="s">
        <v>16</v>
      </c>
      <c r="K67" s="5" t="s">
        <v>207</v>
      </c>
      <c r="L67" s="24">
        <f ca="1">ROUNDUP(IF(staff[[#This Row],[tenure in year]]&gt;2,3%,2%)*staff[[#This Row],[Salary]],0)</f>
        <v>1961</v>
      </c>
      <c r="M67" s="5">
        <f>_xlfn.XLOOKUP(staff[[#This Row],[Rating]],Sheet6!$B$3:$B$7,Sheet6!$C$3:$C$7)</f>
        <v>3</v>
      </c>
    </row>
    <row r="68" spans="1:13">
      <c r="A68" s="5" t="s">
        <v>76</v>
      </c>
      <c r="B68" s="5" t="s">
        <v>15</v>
      </c>
      <c r="C68" s="5" t="s">
        <v>19</v>
      </c>
      <c r="D68" s="5">
        <v>25</v>
      </c>
      <c r="E68" s="10">
        <v>44383</v>
      </c>
      <c r="F68" s="10">
        <f t="shared" ca="1" si="2"/>
        <v>45573</v>
      </c>
      <c r="G68" s="5">
        <f ca="1">staff[[#This Row],[current date]]-staff[[#This Row],[Date Joined]]</f>
        <v>1190</v>
      </c>
      <c r="H68" s="11">
        <f ca="1">staff[[#This Row],[tenure]]/365</f>
        <v>3.2602739726027399</v>
      </c>
      <c r="I68" s="24">
        <v>65700</v>
      </c>
      <c r="J68" s="5" t="s">
        <v>16</v>
      </c>
      <c r="K68" s="5" t="s">
        <v>205</v>
      </c>
      <c r="L68" s="24">
        <f ca="1">ROUNDUP(IF(staff[[#This Row],[tenure in year]]&gt;2,3%,2%)*staff[[#This Row],[Salary]],0)</f>
        <v>1971</v>
      </c>
      <c r="M68" s="5">
        <f>_xlfn.XLOOKUP(staff[[#This Row],[Rating]],Sheet6!$B$3:$B$7,Sheet6!$C$3:$C$7)</f>
        <v>3</v>
      </c>
    </row>
    <row r="69" spans="1:13">
      <c r="A69" s="5" t="s">
        <v>168</v>
      </c>
      <c r="B69" s="5" t="s">
        <v>15</v>
      </c>
      <c r="C69" s="5" t="s">
        <v>19</v>
      </c>
      <c r="D69" s="5">
        <v>25</v>
      </c>
      <c r="E69" s="10">
        <v>44322</v>
      </c>
      <c r="F69" s="10">
        <f t="shared" ca="1" si="2"/>
        <v>45573</v>
      </c>
      <c r="G69" s="5">
        <f ca="1">staff[[#This Row],[current date]]-staff[[#This Row],[Date Joined]]</f>
        <v>1251</v>
      </c>
      <c r="H69" s="11">
        <f ca="1">staff[[#This Row],[tenure]]/365</f>
        <v>3.4273972602739726</v>
      </c>
      <c r="I69" s="24">
        <v>65700</v>
      </c>
      <c r="J69" s="5" t="s">
        <v>16</v>
      </c>
      <c r="K69" s="5" t="s">
        <v>207</v>
      </c>
      <c r="L69" s="24">
        <f ca="1">ROUNDUP(IF(staff[[#This Row],[tenure in year]]&gt;2,3%,2%)*staff[[#This Row],[Salary]],0)</f>
        <v>1971</v>
      </c>
      <c r="M69" s="5">
        <f>_xlfn.XLOOKUP(staff[[#This Row],[Rating]],Sheet6!$B$3:$B$7,Sheet6!$C$3:$C$7)</f>
        <v>3</v>
      </c>
    </row>
    <row r="70" spans="1:13">
      <c r="A70" s="5" t="s">
        <v>32</v>
      </c>
      <c r="B70" s="5" t="s">
        <v>8</v>
      </c>
      <c r="C70" s="5" t="s">
        <v>21</v>
      </c>
      <c r="D70" s="5">
        <v>21</v>
      </c>
      <c r="E70" s="10">
        <v>44317</v>
      </c>
      <c r="F70" s="10">
        <f t="shared" ca="1" si="2"/>
        <v>45573</v>
      </c>
      <c r="G70" s="5">
        <f ca="1">staff[[#This Row],[current date]]-staff[[#This Row],[Date Joined]]</f>
        <v>1256</v>
      </c>
      <c r="H70" s="11">
        <f ca="1">staff[[#This Row],[tenure]]/365</f>
        <v>3.441095890410959</v>
      </c>
      <c r="I70" s="24">
        <v>65920</v>
      </c>
      <c r="J70" s="5" t="s">
        <v>16</v>
      </c>
      <c r="K70" s="5" t="s">
        <v>205</v>
      </c>
      <c r="L70" s="24">
        <f ca="1">ROUNDUP(IF(staff[[#This Row],[tenure in year]]&gt;2,3%,2%)*staff[[#This Row],[Salary]],0)</f>
        <v>1978</v>
      </c>
      <c r="M70" s="5">
        <f>_xlfn.XLOOKUP(staff[[#This Row],[Rating]],Sheet6!$B$3:$B$7,Sheet6!$C$3:$C$7)</f>
        <v>3</v>
      </c>
    </row>
    <row r="71" spans="1:13">
      <c r="A71" s="5" t="s">
        <v>126</v>
      </c>
      <c r="B71" s="5" t="s">
        <v>8</v>
      </c>
      <c r="C71" s="5" t="s">
        <v>21</v>
      </c>
      <c r="D71" s="5">
        <v>21</v>
      </c>
      <c r="E71" s="10">
        <v>44256</v>
      </c>
      <c r="F71" s="10">
        <f t="shared" ca="1" si="2"/>
        <v>45573</v>
      </c>
      <c r="G71" s="5">
        <f ca="1">staff[[#This Row],[current date]]-staff[[#This Row],[Date Joined]]</f>
        <v>1317</v>
      </c>
      <c r="H71" s="11">
        <f ca="1">staff[[#This Row],[tenure]]/365</f>
        <v>3.6082191780821917</v>
      </c>
      <c r="I71" s="24">
        <v>65920</v>
      </c>
      <c r="J71" s="5" t="s">
        <v>16</v>
      </c>
      <c r="K71" s="5" t="s">
        <v>207</v>
      </c>
      <c r="L71" s="24">
        <f ca="1">ROUNDUP(IF(staff[[#This Row],[tenure in year]]&gt;2,3%,2%)*staff[[#This Row],[Salary]],0)</f>
        <v>1978</v>
      </c>
      <c r="M71" s="5">
        <f>_xlfn.XLOOKUP(staff[[#This Row],[Rating]],Sheet6!$B$3:$B$7,Sheet6!$C$3:$C$7)</f>
        <v>3</v>
      </c>
    </row>
    <row r="72" spans="1:13">
      <c r="A72" s="5" t="s">
        <v>27</v>
      </c>
      <c r="B72" s="5" t="s">
        <v>8</v>
      </c>
      <c r="C72" s="5" t="s">
        <v>21</v>
      </c>
      <c r="D72" s="5">
        <v>30</v>
      </c>
      <c r="E72" s="10">
        <v>44389</v>
      </c>
      <c r="F72" s="10">
        <f t="shared" ca="1" si="2"/>
        <v>45573</v>
      </c>
      <c r="G72" s="5">
        <f ca="1">staff[[#This Row],[current date]]-staff[[#This Row],[Date Joined]]</f>
        <v>1184</v>
      </c>
      <c r="H72" s="11">
        <f ca="1">staff[[#This Row],[tenure]]/365</f>
        <v>3.2438356164383562</v>
      </c>
      <c r="I72" s="24">
        <v>67910</v>
      </c>
      <c r="J72" s="5" t="s">
        <v>24</v>
      </c>
      <c r="K72" s="5" t="s">
        <v>205</v>
      </c>
      <c r="L72" s="24">
        <f ca="1">ROUNDUP(IF(staff[[#This Row],[tenure in year]]&gt;2,3%,2%)*staff[[#This Row],[Salary]],0)</f>
        <v>2038</v>
      </c>
      <c r="M72" s="5">
        <f>_xlfn.XLOOKUP(staff[[#This Row],[Rating]],Sheet6!$B$3:$B$7,Sheet6!$C$3:$C$7)</f>
        <v>2</v>
      </c>
    </row>
    <row r="73" spans="1:13">
      <c r="A73" s="5" t="s">
        <v>121</v>
      </c>
      <c r="B73" s="5" t="s">
        <v>8</v>
      </c>
      <c r="C73" s="5" t="s">
        <v>21</v>
      </c>
      <c r="D73" s="5">
        <v>30</v>
      </c>
      <c r="E73" s="10">
        <v>44328</v>
      </c>
      <c r="F73" s="10">
        <f t="shared" ca="1" si="2"/>
        <v>45573</v>
      </c>
      <c r="G73" s="5">
        <f ca="1">staff[[#This Row],[current date]]-staff[[#This Row],[Date Joined]]</f>
        <v>1245</v>
      </c>
      <c r="H73" s="11">
        <f ca="1">staff[[#This Row],[tenure]]/365</f>
        <v>3.4109589041095889</v>
      </c>
      <c r="I73" s="24">
        <v>67910</v>
      </c>
      <c r="J73" s="5" t="s">
        <v>24</v>
      </c>
      <c r="K73" s="5" t="s">
        <v>207</v>
      </c>
      <c r="L73" s="24">
        <f ca="1">ROUNDUP(IF(staff[[#This Row],[tenure in year]]&gt;2,3%,2%)*staff[[#This Row],[Salary]],0)</f>
        <v>2038</v>
      </c>
      <c r="M73" s="5">
        <f>_xlfn.XLOOKUP(staff[[#This Row],[Rating]],Sheet6!$B$3:$B$7,Sheet6!$C$3:$C$7)</f>
        <v>2</v>
      </c>
    </row>
    <row r="74" spans="1:13">
      <c r="A74" s="5" t="s">
        <v>45</v>
      </c>
      <c r="B74" s="5" t="s">
        <v>15</v>
      </c>
      <c r="C74" s="5" t="s">
        <v>9</v>
      </c>
      <c r="D74" s="5">
        <v>30</v>
      </c>
      <c r="E74" s="10">
        <v>44701</v>
      </c>
      <c r="F74" s="10">
        <f t="shared" ca="1" si="2"/>
        <v>45573</v>
      </c>
      <c r="G74" s="5">
        <f ca="1">staff[[#This Row],[current date]]-staff[[#This Row],[Date Joined]]</f>
        <v>872</v>
      </c>
      <c r="H74" s="11">
        <f ca="1">staff[[#This Row],[tenure]]/365</f>
        <v>2.3890410958904109</v>
      </c>
      <c r="I74" s="24">
        <v>67950</v>
      </c>
      <c r="J74" s="5" t="s">
        <v>16</v>
      </c>
      <c r="K74" s="5" t="s">
        <v>205</v>
      </c>
      <c r="L74" s="24">
        <f ca="1">ROUNDUP(IF(staff[[#This Row],[tenure in year]]&gt;2,3%,2%)*staff[[#This Row],[Salary]],0)</f>
        <v>2039</v>
      </c>
      <c r="M74" s="5">
        <f>_xlfn.XLOOKUP(staff[[#This Row],[Rating]],Sheet6!$B$3:$B$7,Sheet6!$C$3:$C$7)</f>
        <v>3</v>
      </c>
    </row>
    <row r="75" spans="1:13">
      <c r="A75" s="5" t="s">
        <v>138</v>
      </c>
      <c r="B75" s="5" t="s">
        <v>15</v>
      </c>
      <c r="C75" s="5" t="s">
        <v>9</v>
      </c>
      <c r="D75" s="5">
        <v>30</v>
      </c>
      <c r="E75" s="10">
        <v>44640</v>
      </c>
      <c r="F75" s="10">
        <f t="shared" ca="1" si="2"/>
        <v>45573</v>
      </c>
      <c r="G75" s="5">
        <f ca="1">staff[[#This Row],[current date]]-staff[[#This Row],[Date Joined]]</f>
        <v>933</v>
      </c>
      <c r="H75" s="11">
        <f ca="1">staff[[#This Row],[tenure]]/365</f>
        <v>2.5561643835616437</v>
      </c>
      <c r="I75" s="24">
        <v>67950</v>
      </c>
      <c r="J75" s="5" t="s">
        <v>16</v>
      </c>
      <c r="K75" s="5" t="s">
        <v>207</v>
      </c>
      <c r="L75" s="24">
        <f ca="1">ROUNDUP(IF(staff[[#This Row],[tenure in year]]&gt;2,3%,2%)*staff[[#This Row],[Salary]],0)</f>
        <v>2039</v>
      </c>
      <c r="M75" s="5">
        <f>_xlfn.XLOOKUP(staff[[#This Row],[Rating]],Sheet6!$B$3:$B$7,Sheet6!$C$3:$C$7)</f>
        <v>3</v>
      </c>
    </row>
    <row r="76" spans="1:13">
      <c r="A76" s="5" t="s">
        <v>91</v>
      </c>
      <c r="B76" s="5" t="s">
        <v>8</v>
      </c>
      <c r="C76" s="5" t="s">
        <v>19</v>
      </c>
      <c r="D76" s="5">
        <v>20</v>
      </c>
      <c r="E76" s="10">
        <v>44537</v>
      </c>
      <c r="F76" s="10">
        <f t="shared" ca="1" si="2"/>
        <v>45573</v>
      </c>
      <c r="G76" s="5">
        <f ca="1">staff[[#This Row],[current date]]-staff[[#This Row],[Date Joined]]</f>
        <v>1036</v>
      </c>
      <c r="H76" s="11">
        <f ca="1">staff[[#This Row],[tenure]]/365</f>
        <v>2.8383561643835615</v>
      </c>
      <c r="I76" s="24">
        <v>68900</v>
      </c>
      <c r="J76" s="5" t="s">
        <v>24</v>
      </c>
      <c r="K76" s="5" t="s">
        <v>205</v>
      </c>
      <c r="L76" s="24">
        <f ca="1">ROUNDUP(IF(staff[[#This Row],[tenure in year]]&gt;2,3%,2%)*staff[[#This Row],[Salary]],0)</f>
        <v>2067</v>
      </c>
      <c r="M76" s="5">
        <f>_xlfn.XLOOKUP(staff[[#This Row],[Rating]],Sheet6!$B$3:$B$7,Sheet6!$C$3:$C$7)</f>
        <v>2</v>
      </c>
    </row>
    <row r="77" spans="1:13">
      <c r="A77" s="5" t="s">
        <v>184</v>
      </c>
      <c r="B77" s="5" t="s">
        <v>8</v>
      </c>
      <c r="C77" s="5" t="s">
        <v>19</v>
      </c>
      <c r="D77" s="5">
        <v>20</v>
      </c>
      <c r="E77" s="10">
        <v>44476</v>
      </c>
      <c r="F77" s="10">
        <f t="shared" ca="1" si="2"/>
        <v>45573</v>
      </c>
      <c r="G77" s="5">
        <f ca="1">staff[[#This Row],[current date]]-staff[[#This Row],[Date Joined]]</f>
        <v>1097</v>
      </c>
      <c r="H77" s="11">
        <f ca="1">staff[[#This Row],[tenure]]/365</f>
        <v>3.0054794520547947</v>
      </c>
      <c r="I77" s="24">
        <v>68900</v>
      </c>
      <c r="J77" s="5" t="s">
        <v>24</v>
      </c>
      <c r="K77" s="5" t="s">
        <v>207</v>
      </c>
      <c r="L77" s="24">
        <f ca="1">ROUNDUP(IF(staff[[#This Row],[tenure in year]]&gt;2,3%,2%)*staff[[#This Row],[Salary]],0)</f>
        <v>2067</v>
      </c>
      <c r="M77" s="5">
        <f>_xlfn.XLOOKUP(staff[[#This Row],[Rating]],Sheet6!$B$3:$B$7,Sheet6!$C$3:$C$7)</f>
        <v>2</v>
      </c>
    </row>
    <row r="78" spans="1:13">
      <c r="A78" s="5" t="s">
        <v>97</v>
      </c>
      <c r="B78" s="5" t="s">
        <v>15</v>
      </c>
      <c r="C78" s="5" t="s">
        <v>12</v>
      </c>
      <c r="D78" s="5">
        <v>37</v>
      </c>
      <c r="E78" s="10">
        <v>44701</v>
      </c>
      <c r="F78" s="10">
        <f t="shared" ca="1" si="2"/>
        <v>45573</v>
      </c>
      <c r="G78" s="5">
        <f ca="1">staff[[#This Row],[current date]]-staff[[#This Row],[Date Joined]]</f>
        <v>872</v>
      </c>
      <c r="H78" s="11">
        <f ca="1">staff[[#This Row],[tenure]]/365</f>
        <v>2.3890410958904109</v>
      </c>
      <c r="I78" s="24">
        <v>69070</v>
      </c>
      <c r="J78" s="5" t="s">
        <v>16</v>
      </c>
      <c r="K78" s="5" t="s">
        <v>205</v>
      </c>
      <c r="L78" s="24">
        <f ca="1">ROUNDUP(IF(staff[[#This Row],[tenure in year]]&gt;2,3%,2%)*staff[[#This Row],[Salary]],0)</f>
        <v>2073</v>
      </c>
      <c r="M78" s="5">
        <f>_xlfn.XLOOKUP(staff[[#This Row],[Rating]],Sheet6!$B$3:$B$7,Sheet6!$C$3:$C$7)</f>
        <v>3</v>
      </c>
    </row>
    <row r="79" spans="1:13">
      <c r="A79" s="5" t="s">
        <v>190</v>
      </c>
      <c r="B79" s="5" t="s">
        <v>15</v>
      </c>
      <c r="C79" s="5" t="s">
        <v>12</v>
      </c>
      <c r="D79" s="5">
        <v>37</v>
      </c>
      <c r="E79" s="10">
        <v>44640</v>
      </c>
      <c r="F79" s="10">
        <f t="shared" ca="1" si="2"/>
        <v>45573</v>
      </c>
      <c r="G79" s="5">
        <f ca="1">staff[[#This Row],[current date]]-staff[[#This Row],[Date Joined]]</f>
        <v>933</v>
      </c>
      <c r="H79" s="11">
        <f ca="1">staff[[#This Row],[tenure]]/365</f>
        <v>2.5561643835616437</v>
      </c>
      <c r="I79" s="24">
        <v>69070</v>
      </c>
      <c r="J79" s="5" t="s">
        <v>16</v>
      </c>
      <c r="K79" s="5" t="s">
        <v>207</v>
      </c>
      <c r="L79" s="24">
        <f ca="1">ROUNDUP(IF(staff[[#This Row],[tenure in year]]&gt;2,3%,2%)*staff[[#This Row],[Salary]],0)</f>
        <v>2073</v>
      </c>
      <c r="M79" s="5">
        <f>_xlfn.XLOOKUP(staff[[#This Row],[Rating]],Sheet6!$B$3:$B$7,Sheet6!$C$3:$C$7)</f>
        <v>3</v>
      </c>
    </row>
    <row r="80" spans="1:13">
      <c r="A80" s="5" t="s">
        <v>25</v>
      </c>
      <c r="B80" s="5" t="s">
        <v>15</v>
      </c>
      <c r="C80" s="5" t="s">
        <v>12</v>
      </c>
      <c r="D80" s="5">
        <v>30</v>
      </c>
      <c r="E80" s="10">
        <v>44273</v>
      </c>
      <c r="F80" s="10">
        <f t="shared" ca="1" si="2"/>
        <v>45573</v>
      </c>
      <c r="G80" s="5">
        <f ca="1">staff[[#This Row],[current date]]-staff[[#This Row],[Date Joined]]</f>
        <v>1300</v>
      </c>
      <c r="H80" s="11">
        <f ca="1">staff[[#This Row],[tenure]]/365</f>
        <v>3.5616438356164384</v>
      </c>
      <c r="I80" s="24">
        <v>69120</v>
      </c>
      <c r="J80" s="5" t="s">
        <v>16</v>
      </c>
      <c r="K80" s="5" t="s">
        <v>205</v>
      </c>
      <c r="L80" s="24">
        <f ca="1">ROUNDUP(IF(staff[[#This Row],[tenure in year]]&gt;2,3%,2%)*staff[[#This Row],[Salary]],0)</f>
        <v>2074</v>
      </c>
      <c r="M80" s="5">
        <f>_xlfn.XLOOKUP(staff[[#This Row],[Rating]],Sheet6!$B$3:$B$7,Sheet6!$C$3:$C$7)</f>
        <v>3</v>
      </c>
    </row>
    <row r="81" spans="1:13">
      <c r="A81" s="5" t="s">
        <v>119</v>
      </c>
      <c r="B81" s="5" t="s">
        <v>15</v>
      </c>
      <c r="C81" s="5" t="s">
        <v>12</v>
      </c>
      <c r="D81" s="5">
        <v>30</v>
      </c>
      <c r="E81" s="10">
        <v>44214</v>
      </c>
      <c r="F81" s="10">
        <f t="shared" ca="1" si="2"/>
        <v>45573</v>
      </c>
      <c r="G81" s="5">
        <f ca="1">staff[[#This Row],[current date]]-staff[[#This Row],[Date Joined]]</f>
        <v>1359</v>
      </c>
      <c r="H81" s="11">
        <f ca="1">staff[[#This Row],[tenure]]/365</f>
        <v>3.7232876712328768</v>
      </c>
      <c r="I81" s="24">
        <v>69120</v>
      </c>
      <c r="J81" s="5" t="s">
        <v>16</v>
      </c>
      <c r="K81" s="5" t="s">
        <v>207</v>
      </c>
      <c r="L81" s="24">
        <f ca="1">ROUNDUP(IF(staff[[#This Row],[tenure in year]]&gt;2,3%,2%)*staff[[#This Row],[Salary]],0)</f>
        <v>2074</v>
      </c>
      <c r="M81" s="5">
        <f>_xlfn.XLOOKUP(staff[[#This Row],[Rating]],Sheet6!$B$3:$B$7,Sheet6!$C$3:$C$7)</f>
        <v>3</v>
      </c>
    </row>
    <row r="82" spans="1:13">
      <c r="A82" s="5" t="s">
        <v>67</v>
      </c>
      <c r="B82" s="5" t="s">
        <v>15</v>
      </c>
      <c r="C82" s="5" t="s">
        <v>12</v>
      </c>
      <c r="D82" s="5">
        <v>30</v>
      </c>
      <c r="E82" s="10">
        <v>44850</v>
      </c>
      <c r="F82" s="10">
        <f t="shared" ca="1" si="2"/>
        <v>45573</v>
      </c>
      <c r="G82" s="5">
        <f ca="1">staff[[#This Row],[current date]]-staff[[#This Row],[Date Joined]]</f>
        <v>723</v>
      </c>
      <c r="H82" s="11">
        <f ca="1">staff[[#This Row],[tenure]]/365</f>
        <v>1.9808219178082191</v>
      </c>
      <c r="I82" s="24">
        <v>69710</v>
      </c>
      <c r="J82" s="5" t="s">
        <v>16</v>
      </c>
      <c r="K82" s="5" t="s">
        <v>205</v>
      </c>
      <c r="L82" s="24">
        <f ca="1">ROUNDUP(IF(staff[[#This Row],[tenure in year]]&gt;2,3%,2%)*staff[[#This Row],[Salary]],0)</f>
        <v>1395</v>
      </c>
      <c r="M82" s="5">
        <f>_xlfn.XLOOKUP(staff[[#This Row],[Rating]],Sheet6!$B$3:$B$7,Sheet6!$C$3:$C$7)</f>
        <v>3</v>
      </c>
    </row>
    <row r="83" spans="1:13">
      <c r="A83" s="5" t="s">
        <v>159</v>
      </c>
      <c r="B83" s="5" t="s">
        <v>15</v>
      </c>
      <c r="C83" s="5" t="s">
        <v>12</v>
      </c>
      <c r="D83" s="5">
        <v>30</v>
      </c>
      <c r="E83" s="10">
        <v>44789</v>
      </c>
      <c r="F83" s="10">
        <f t="shared" ca="1" si="2"/>
        <v>45573</v>
      </c>
      <c r="G83" s="5">
        <f ca="1">staff[[#This Row],[current date]]-staff[[#This Row],[Date Joined]]</f>
        <v>784</v>
      </c>
      <c r="H83" s="11">
        <f ca="1">staff[[#This Row],[tenure]]/365</f>
        <v>2.1479452054794521</v>
      </c>
      <c r="I83" s="24">
        <v>69710</v>
      </c>
      <c r="J83" s="5" t="s">
        <v>16</v>
      </c>
      <c r="K83" s="5" t="s">
        <v>207</v>
      </c>
      <c r="L83" s="24">
        <f ca="1">ROUNDUP(IF(staff[[#This Row],[tenure in year]]&gt;2,3%,2%)*staff[[#This Row],[Salary]],0)</f>
        <v>2092</v>
      </c>
      <c r="M83" s="5">
        <f>_xlfn.XLOOKUP(staff[[#This Row],[Rating]],Sheet6!$B$3:$B$7,Sheet6!$C$3:$C$7)</f>
        <v>3</v>
      </c>
    </row>
    <row r="84" spans="1:13">
      <c r="A84" s="5" t="s">
        <v>90</v>
      </c>
      <c r="B84" s="5" t="s">
        <v>15</v>
      </c>
      <c r="C84" s="5" t="s">
        <v>21</v>
      </c>
      <c r="D84" s="5">
        <v>42</v>
      </c>
      <c r="E84" s="10">
        <v>44731</v>
      </c>
      <c r="F84" s="10">
        <f t="shared" ca="1" si="2"/>
        <v>45573</v>
      </c>
      <c r="G84" s="5">
        <f ca="1">staff[[#This Row],[current date]]-staff[[#This Row],[Date Joined]]</f>
        <v>842</v>
      </c>
      <c r="H84" s="11">
        <f ca="1">staff[[#This Row],[tenure]]/365</f>
        <v>2.3068493150684932</v>
      </c>
      <c r="I84" s="24">
        <v>70270</v>
      </c>
      <c r="J84" s="5" t="s">
        <v>24</v>
      </c>
      <c r="K84" s="5" t="s">
        <v>205</v>
      </c>
      <c r="L84" s="24">
        <f ca="1">ROUNDUP(IF(staff[[#This Row],[tenure in year]]&gt;2,3%,2%)*staff[[#This Row],[Salary]],0)</f>
        <v>2109</v>
      </c>
      <c r="M84" s="5">
        <f>_xlfn.XLOOKUP(staff[[#This Row],[Rating]],Sheet6!$B$3:$B$7,Sheet6!$C$3:$C$7)</f>
        <v>2</v>
      </c>
    </row>
    <row r="85" spans="1:13">
      <c r="A85" s="5" t="s">
        <v>183</v>
      </c>
      <c r="B85" s="5" t="s">
        <v>15</v>
      </c>
      <c r="C85" s="5" t="s">
        <v>21</v>
      </c>
      <c r="D85" s="5">
        <v>42</v>
      </c>
      <c r="E85" s="10">
        <v>44670</v>
      </c>
      <c r="F85" s="10">
        <f t="shared" ca="1" si="2"/>
        <v>45573</v>
      </c>
      <c r="G85" s="5">
        <f ca="1">staff[[#This Row],[current date]]-staff[[#This Row],[Date Joined]]</f>
        <v>903</v>
      </c>
      <c r="H85" s="11">
        <f ca="1">staff[[#This Row],[tenure]]/365</f>
        <v>2.473972602739726</v>
      </c>
      <c r="I85" s="24">
        <v>70270</v>
      </c>
      <c r="J85" s="5" t="s">
        <v>24</v>
      </c>
      <c r="K85" s="5" t="s">
        <v>207</v>
      </c>
      <c r="L85" s="24">
        <f ca="1">ROUNDUP(IF(staff[[#This Row],[tenure in year]]&gt;2,3%,2%)*staff[[#This Row],[Salary]],0)</f>
        <v>2109</v>
      </c>
      <c r="M85" s="5">
        <f>_xlfn.XLOOKUP(staff[[#This Row],[Rating]],Sheet6!$B$3:$B$7,Sheet6!$C$3:$C$7)</f>
        <v>2</v>
      </c>
    </row>
    <row r="86" spans="1:13">
      <c r="A86" s="5" t="s">
        <v>70</v>
      </c>
      <c r="B86" s="5" t="s">
        <v>15</v>
      </c>
      <c r="C86" s="5" t="s">
        <v>9</v>
      </c>
      <c r="D86" s="5">
        <v>46</v>
      </c>
      <c r="E86" s="10">
        <v>44758</v>
      </c>
      <c r="F86" s="10">
        <f t="shared" ca="1" si="2"/>
        <v>45573</v>
      </c>
      <c r="G86" s="5">
        <f ca="1">staff[[#This Row],[current date]]-staff[[#This Row],[Date Joined]]</f>
        <v>815</v>
      </c>
      <c r="H86" s="11">
        <f ca="1">staff[[#This Row],[tenure]]/365</f>
        <v>2.2328767123287672</v>
      </c>
      <c r="I86" s="24">
        <v>70610</v>
      </c>
      <c r="J86" s="5" t="s">
        <v>16</v>
      </c>
      <c r="K86" s="5" t="s">
        <v>205</v>
      </c>
      <c r="L86" s="24">
        <f ca="1">ROUNDUP(IF(staff[[#This Row],[tenure in year]]&gt;2,3%,2%)*staff[[#This Row],[Salary]],0)</f>
        <v>2119</v>
      </c>
      <c r="M86" s="5">
        <f>_xlfn.XLOOKUP(staff[[#This Row],[Rating]],Sheet6!$B$3:$B$7,Sheet6!$C$3:$C$7)</f>
        <v>3</v>
      </c>
    </row>
    <row r="87" spans="1:13">
      <c r="A87" s="5" t="s">
        <v>162</v>
      </c>
      <c r="B87" s="5" t="s">
        <v>15</v>
      </c>
      <c r="C87" s="5" t="s">
        <v>9</v>
      </c>
      <c r="D87" s="5">
        <v>46</v>
      </c>
      <c r="E87" s="10">
        <v>44697</v>
      </c>
      <c r="F87" s="10">
        <f t="shared" ca="1" si="2"/>
        <v>45573</v>
      </c>
      <c r="G87" s="5">
        <f ca="1">staff[[#This Row],[current date]]-staff[[#This Row],[Date Joined]]</f>
        <v>876</v>
      </c>
      <c r="H87" s="11">
        <f ca="1">staff[[#This Row],[tenure]]/365</f>
        <v>2.4</v>
      </c>
      <c r="I87" s="24">
        <v>70610</v>
      </c>
      <c r="J87" s="5" t="s">
        <v>16</v>
      </c>
      <c r="K87" s="5" t="s">
        <v>207</v>
      </c>
      <c r="L87" s="24">
        <f ca="1">ROUNDUP(IF(staff[[#This Row],[tenure in year]]&gt;2,3%,2%)*staff[[#This Row],[Salary]],0)</f>
        <v>2119</v>
      </c>
      <c r="M87" s="5">
        <f>_xlfn.XLOOKUP(staff[[#This Row],[Rating]],Sheet6!$B$3:$B$7,Sheet6!$C$3:$C$7)</f>
        <v>3</v>
      </c>
    </row>
    <row r="88" spans="1:13">
      <c r="A88" s="5" t="s">
        <v>94</v>
      </c>
      <c r="B88" s="5" t="s">
        <v>15</v>
      </c>
      <c r="C88" s="5" t="s">
        <v>21</v>
      </c>
      <c r="D88" s="5">
        <v>36</v>
      </c>
      <c r="E88" s="10">
        <v>44333</v>
      </c>
      <c r="F88" s="10">
        <f t="shared" ca="1" si="2"/>
        <v>45573</v>
      </c>
      <c r="G88" s="5">
        <f ca="1">staff[[#This Row],[current date]]-staff[[#This Row],[Date Joined]]</f>
        <v>1240</v>
      </c>
      <c r="H88" s="11">
        <f ca="1">staff[[#This Row],[tenure]]/365</f>
        <v>3.3972602739726026</v>
      </c>
      <c r="I88" s="24">
        <v>71380</v>
      </c>
      <c r="J88" s="5" t="s">
        <v>16</v>
      </c>
      <c r="K88" s="5" t="s">
        <v>205</v>
      </c>
      <c r="L88" s="24">
        <f ca="1">ROUNDUP(IF(staff[[#This Row],[tenure in year]]&gt;2,3%,2%)*staff[[#This Row],[Salary]],0)</f>
        <v>2142</v>
      </c>
      <c r="M88" s="5">
        <f>_xlfn.XLOOKUP(staff[[#This Row],[Rating]],Sheet6!$B$3:$B$7,Sheet6!$C$3:$C$7)</f>
        <v>3</v>
      </c>
    </row>
    <row r="89" spans="1:13">
      <c r="A89" s="5" t="s">
        <v>187</v>
      </c>
      <c r="B89" s="5" t="s">
        <v>15</v>
      </c>
      <c r="C89" s="5" t="s">
        <v>21</v>
      </c>
      <c r="D89" s="5">
        <v>36</v>
      </c>
      <c r="E89" s="10">
        <v>44272</v>
      </c>
      <c r="F89" s="10">
        <f t="shared" ca="1" si="2"/>
        <v>45573</v>
      </c>
      <c r="G89" s="5">
        <f ca="1">staff[[#This Row],[current date]]-staff[[#This Row],[Date Joined]]</f>
        <v>1301</v>
      </c>
      <c r="H89" s="11">
        <f ca="1">staff[[#This Row],[tenure]]/365</f>
        <v>3.5643835616438357</v>
      </c>
      <c r="I89" s="24">
        <v>71380</v>
      </c>
      <c r="J89" s="5" t="s">
        <v>16</v>
      </c>
      <c r="K89" s="5" t="s">
        <v>207</v>
      </c>
      <c r="L89" s="24">
        <f ca="1">ROUNDUP(IF(staff[[#This Row],[tenure in year]]&gt;2,3%,2%)*staff[[#This Row],[Salary]],0)</f>
        <v>2142</v>
      </c>
      <c r="M89" s="5">
        <f>_xlfn.XLOOKUP(staff[[#This Row],[Rating]],Sheet6!$B$3:$B$7,Sheet6!$C$3:$C$7)</f>
        <v>3</v>
      </c>
    </row>
    <row r="90" spans="1:13">
      <c r="A90" s="5" t="s">
        <v>18</v>
      </c>
      <c r="B90" s="5" t="s">
        <v>15</v>
      </c>
      <c r="C90" s="5" t="s">
        <v>19</v>
      </c>
      <c r="D90" s="5">
        <v>33</v>
      </c>
      <c r="E90" s="10">
        <v>44385</v>
      </c>
      <c r="F90" s="10">
        <f t="shared" ca="1" si="2"/>
        <v>45573</v>
      </c>
      <c r="G90" s="5">
        <f ca="1">staff[[#This Row],[current date]]-staff[[#This Row],[Date Joined]]</f>
        <v>1188</v>
      </c>
      <c r="H90" s="11">
        <f ca="1">staff[[#This Row],[tenure]]/365</f>
        <v>3.2547945205479452</v>
      </c>
      <c r="I90" s="24">
        <v>74550</v>
      </c>
      <c r="J90" s="5" t="s">
        <v>16</v>
      </c>
      <c r="K90" s="5" t="s">
        <v>205</v>
      </c>
      <c r="L90" s="24">
        <f ca="1">ROUNDUP(IF(staff[[#This Row],[tenure in year]]&gt;2,3%,2%)*staff[[#This Row],[Salary]],0)</f>
        <v>2237</v>
      </c>
      <c r="M90" s="5">
        <f>_xlfn.XLOOKUP(staff[[#This Row],[Rating]],Sheet6!$B$3:$B$7,Sheet6!$C$3:$C$7)</f>
        <v>3</v>
      </c>
    </row>
    <row r="91" spans="1:13">
      <c r="A91" s="5" t="s">
        <v>115</v>
      </c>
      <c r="B91" s="5" t="s">
        <v>15</v>
      </c>
      <c r="C91" s="5" t="s">
        <v>19</v>
      </c>
      <c r="D91" s="5">
        <v>33</v>
      </c>
      <c r="E91" s="10">
        <v>44324</v>
      </c>
      <c r="F91" s="10">
        <f t="shared" ca="1" si="2"/>
        <v>45573</v>
      </c>
      <c r="G91" s="5">
        <f ca="1">staff[[#This Row],[current date]]-staff[[#This Row],[Date Joined]]</f>
        <v>1249</v>
      </c>
      <c r="H91" s="11">
        <f ca="1">staff[[#This Row],[tenure]]/365</f>
        <v>3.4219178082191779</v>
      </c>
      <c r="I91" s="24">
        <v>74550</v>
      </c>
      <c r="J91" s="5" t="s">
        <v>16</v>
      </c>
      <c r="K91" s="5" t="s">
        <v>207</v>
      </c>
      <c r="L91" s="24">
        <f ca="1">ROUNDUP(IF(staff[[#This Row],[tenure in year]]&gt;2,3%,2%)*staff[[#This Row],[Salary]],0)</f>
        <v>2237</v>
      </c>
      <c r="M91" s="5">
        <f>_xlfn.XLOOKUP(staff[[#This Row],[Rating]],Sheet6!$B$3:$B$7,Sheet6!$C$3:$C$7)</f>
        <v>3</v>
      </c>
    </row>
    <row r="92" spans="1:13">
      <c r="A92" s="5" t="s">
        <v>7</v>
      </c>
      <c r="B92" s="5" t="s">
        <v>8</v>
      </c>
      <c r="C92" s="5" t="s">
        <v>9</v>
      </c>
      <c r="D92" s="5">
        <v>42</v>
      </c>
      <c r="E92" s="10">
        <v>44779</v>
      </c>
      <c r="F92" s="10">
        <f t="shared" ca="1" si="2"/>
        <v>45573</v>
      </c>
      <c r="G92" s="5">
        <f ca="1">staff[[#This Row],[current date]]-staff[[#This Row],[Date Joined]]</f>
        <v>794</v>
      </c>
      <c r="H92" s="11">
        <f ca="1">staff[[#This Row],[tenure]]/365</f>
        <v>2.1753424657534248</v>
      </c>
      <c r="I92" s="24">
        <v>75000</v>
      </c>
      <c r="J92" s="5" t="s">
        <v>10</v>
      </c>
      <c r="K92" s="5" t="s">
        <v>205</v>
      </c>
      <c r="L92" s="24">
        <f ca="1">ROUNDUP(IF(staff[[#This Row],[tenure in year]]&gt;2,3%,2%)*staff[[#This Row],[Salary]],0)</f>
        <v>2250</v>
      </c>
      <c r="M92" s="5" t="e">
        <f>_xlfn.XLOOKUP(staff[[#This Row],[Rating]],Sheet6!$B$3:$B$7,Sheet6!$C$3:$C$7)</f>
        <v>#N/A</v>
      </c>
    </row>
    <row r="93" spans="1:13">
      <c r="A93" s="5" t="s">
        <v>111</v>
      </c>
      <c r="B93" s="5" t="s">
        <v>8</v>
      </c>
      <c r="C93" s="5" t="s">
        <v>9</v>
      </c>
      <c r="D93" s="5">
        <v>42</v>
      </c>
      <c r="E93" s="10">
        <v>44718</v>
      </c>
      <c r="F93" s="10">
        <f t="shared" ca="1" si="2"/>
        <v>45573</v>
      </c>
      <c r="G93" s="5">
        <f ca="1">staff[[#This Row],[current date]]-staff[[#This Row],[Date Joined]]</f>
        <v>855</v>
      </c>
      <c r="H93" s="11">
        <f ca="1">staff[[#This Row],[tenure]]/365</f>
        <v>2.3424657534246576</v>
      </c>
      <c r="I93" s="24">
        <v>75000</v>
      </c>
      <c r="J93" s="5" t="s">
        <v>10</v>
      </c>
      <c r="K93" s="5" t="s">
        <v>207</v>
      </c>
      <c r="L93" s="24">
        <f ca="1">ROUNDUP(IF(staff[[#This Row],[tenure in year]]&gt;2,3%,2%)*staff[[#This Row],[Salary]],0)</f>
        <v>2250</v>
      </c>
      <c r="M93" s="5" t="e">
        <f>_xlfn.XLOOKUP(staff[[#This Row],[Rating]],Sheet6!$B$3:$B$7,Sheet6!$C$3:$C$7)</f>
        <v>#N/A</v>
      </c>
    </row>
    <row r="94" spans="1:13">
      <c r="A94" s="5" t="s">
        <v>95</v>
      </c>
      <c r="B94" s="5" t="s">
        <v>8</v>
      </c>
      <c r="C94" s="5" t="s">
        <v>12</v>
      </c>
      <c r="D94" s="5">
        <v>33</v>
      </c>
      <c r="E94" s="10">
        <v>44312</v>
      </c>
      <c r="F94" s="10">
        <f t="shared" ca="1" si="2"/>
        <v>45573</v>
      </c>
      <c r="G94" s="5">
        <f ca="1">staff[[#This Row],[current date]]-staff[[#This Row],[Date Joined]]</f>
        <v>1261</v>
      </c>
      <c r="H94" s="11">
        <f ca="1">staff[[#This Row],[tenure]]/365</f>
        <v>3.4547945205479453</v>
      </c>
      <c r="I94" s="24">
        <v>75280</v>
      </c>
      <c r="J94" s="5" t="s">
        <v>16</v>
      </c>
      <c r="K94" s="5" t="s">
        <v>205</v>
      </c>
      <c r="L94" s="24">
        <f ca="1">ROUNDUP(IF(staff[[#This Row],[tenure in year]]&gt;2,3%,2%)*staff[[#This Row],[Salary]],0)</f>
        <v>2259</v>
      </c>
      <c r="M94" s="5">
        <f>_xlfn.XLOOKUP(staff[[#This Row],[Rating]],Sheet6!$B$3:$B$7,Sheet6!$C$3:$C$7)</f>
        <v>3</v>
      </c>
    </row>
    <row r="95" spans="1:13">
      <c r="A95" s="5" t="s">
        <v>188</v>
      </c>
      <c r="B95" s="5" t="s">
        <v>8</v>
      </c>
      <c r="C95" s="5" t="s">
        <v>12</v>
      </c>
      <c r="D95" s="5">
        <v>33</v>
      </c>
      <c r="E95" s="10">
        <v>44253</v>
      </c>
      <c r="F95" s="10">
        <f t="shared" ca="1" si="2"/>
        <v>45573</v>
      </c>
      <c r="G95" s="5">
        <f ca="1">staff[[#This Row],[current date]]-staff[[#This Row],[Date Joined]]</f>
        <v>1320</v>
      </c>
      <c r="H95" s="11">
        <f ca="1">staff[[#This Row],[tenure]]/365</f>
        <v>3.6164383561643834</v>
      </c>
      <c r="I95" s="24">
        <v>75280</v>
      </c>
      <c r="J95" s="5" t="s">
        <v>16</v>
      </c>
      <c r="K95" s="5" t="s">
        <v>207</v>
      </c>
      <c r="L95" s="24">
        <f ca="1">ROUNDUP(IF(staff[[#This Row],[tenure in year]]&gt;2,3%,2%)*staff[[#This Row],[Salary]],0)</f>
        <v>2259</v>
      </c>
      <c r="M95" s="5">
        <f>_xlfn.XLOOKUP(staff[[#This Row],[Rating]],Sheet6!$B$3:$B$7,Sheet6!$C$3:$C$7)</f>
        <v>3</v>
      </c>
    </row>
    <row r="96" spans="1:13">
      <c r="A96" s="5" t="s">
        <v>41</v>
      </c>
      <c r="B96" s="5" t="s">
        <v>8</v>
      </c>
      <c r="C96" s="5" t="s">
        <v>12</v>
      </c>
      <c r="D96" s="5">
        <v>33</v>
      </c>
      <c r="E96" s="10">
        <v>44374</v>
      </c>
      <c r="F96" s="10">
        <f t="shared" ca="1" si="2"/>
        <v>45573</v>
      </c>
      <c r="G96" s="5">
        <f ca="1">staff[[#This Row],[current date]]-staff[[#This Row],[Date Joined]]</f>
        <v>1199</v>
      </c>
      <c r="H96" s="11">
        <f ca="1">staff[[#This Row],[tenure]]/365</f>
        <v>3.2849315068493152</v>
      </c>
      <c r="I96" s="24">
        <v>75480</v>
      </c>
      <c r="J96" s="5" t="s">
        <v>42</v>
      </c>
      <c r="K96" s="5" t="s">
        <v>205</v>
      </c>
      <c r="L96" s="24">
        <f ca="1">ROUNDUP(IF(staff[[#This Row],[tenure in year]]&gt;2,3%,2%)*staff[[#This Row],[Salary]],0)</f>
        <v>2265</v>
      </c>
      <c r="M96" s="5">
        <f>_xlfn.XLOOKUP(staff[[#This Row],[Rating]],Sheet6!$B$3:$B$7,Sheet6!$C$3:$C$7)</f>
        <v>1</v>
      </c>
    </row>
    <row r="97" spans="1:13">
      <c r="A97" s="5" t="s">
        <v>135</v>
      </c>
      <c r="B97" s="5" t="s">
        <v>8</v>
      </c>
      <c r="C97" s="5" t="s">
        <v>12</v>
      </c>
      <c r="D97" s="5">
        <v>33</v>
      </c>
      <c r="E97" s="10">
        <v>44313</v>
      </c>
      <c r="F97" s="10">
        <f t="shared" ca="1" si="2"/>
        <v>45573</v>
      </c>
      <c r="G97" s="5">
        <f ca="1">staff[[#This Row],[current date]]-staff[[#This Row],[Date Joined]]</f>
        <v>1260</v>
      </c>
      <c r="H97" s="11">
        <f ca="1">staff[[#This Row],[tenure]]/365</f>
        <v>3.452054794520548</v>
      </c>
      <c r="I97" s="24">
        <v>75480</v>
      </c>
      <c r="J97" s="5" t="s">
        <v>42</v>
      </c>
      <c r="K97" s="5" t="s">
        <v>207</v>
      </c>
      <c r="L97" s="24">
        <f ca="1">ROUNDUP(IF(staff[[#This Row],[tenure in year]]&gt;2,3%,2%)*staff[[#This Row],[Salary]],0)</f>
        <v>2265</v>
      </c>
      <c r="M97" s="5">
        <f>_xlfn.XLOOKUP(staff[[#This Row],[Rating]],Sheet6!$B$3:$B$7,Sheet6!$C$3:$C$7)</f>
        <v>1</v>
      </c>
    </row>
    <row r="98" spans="1:13">
      <c r="A98" s="5" t="s">
        <v>78</v>
      </c>
      <c r="B98" s="5" t="s">
        <v>15</v>
      </c>
      <c r="C98" s="5" t="s">
        <v>56</v>
      </c>
      <c r="D98" s="5">
        <v>21</v>
      </c>
      <c r="E98" s="10">
        <v>44242</v>
      </c>
      <c r="F98" s="10">
        <f t="shared" ref="F98:F129" ca="1" si="3">TODAY()</f>
        <v>45573</v>
      </c>
      <c r="G98" s="5">
        <f ca="1">staff[[#This Row],[current date]]-staff[[#This Row],[Date Joined]]</f>
        <v>1331</v>
      </c>
      <c r="H98" s="11">
        <f ca="1">staff[[#This Row],[tenure]]/365</f>
        <v>3.6465753424657534</v>
      </c>
      <c r="I98" s="24">
        <v>75880</v>
      </c>
      <c r="J98" s="5" t="s">
        <v>16</v>
      </c>
      <c r="K98" s="5" t="s">
        <v>205</v>
      </c>
      <c r="L98" s="24">
        <f ca="1">ROUNDUP(IF(staff[[#This Row],[tenure in year]]&gt;2,3%,2%)*staff[[#This Row],[Salary]],0)</f>
        <v>2277</v>
      </c>
      <c r="M98" s="5">
        <f>_xlfn.XLOOKUP(staff[[#This Row],[Rating]],Sheet6!$B$3:$B$7,Sheet6!$C$3:$C$7)</f>
        <v>3</v>
      </c>
    </row>
    <row r="99" spans="1:13">
      <c r="A99" s="5" t="s">
        <v>170</v>
      </c>
      <c r="B99" s="5" t="s">
        <v>15</v>
      </c>
      <c r="C99" s="5" t="s">
        <v>56</v>
      </c>
      <c r="D99" s="5">
        <v>21</v>
      </c>
      <c r="E99" s="10">
        <v>44180</v>
      </c>
      <c r="F99" s="10">
        <f t="shared" ca="1" si="3"/>
        <v>45573</v>
      </c>
      <c r="G99" s="5">
        <f ca="1">staff[[#This Row],[current date]]-staff[[#This Row],[Date Joined]]</f>
        <v>1393</v>
      </c>
      <c r="H99" s="11">
        <f ca="1">staff[[#This Row],[tenure]]/365</f>
        <v>3.8164383561643835</v>
      </c>
      <c r="I99" s="24">
        <v>75880</v>
      </c>
      <c r="J99" s="5" t="s">
        <v>16</v>
      </c>
      <c r="K99" s="5" t="s">
        <v>207</v>
      </c>
      <c r="L99" s="24">
        <f ca="1">ROUNDUP(IF(staff[[#This Row],[tenure in year]]&gt;2,3%,2%)*staff[[#This Row],[Salary]],0)</f>
        <v>2277</v>
      </c>
      <c r="M99" s="5">
        <f>_xlfn.XLOOKUP(staff[[#This Row],[Rating]],Sheet6!$B$3:$B$7,Sheet6!$C$3:$C$7)</f>
        <v>3</v>
      </c>
    </row>
    <row r="100" spans="1:13">
      <c r="A100" s="5" t="s">
        <v>35</v>
      </c>
      <c r="B100" s="5" t="s">
        <v>8</v>
      </c>
      <c r="C100" s="5" t="s">
        <v>21</v>
      </c>
      <c r="D100" s="5">
        <v>28</v>
      </c>
      <c r="E100" s="10">
        <v>44185</v>
      </c>
      <c r="F100" s="10">
        <f t="shared" ca="1" si="3"/>
        <v>45573</v>
      </c>
      <c r="G100" s="5">
        <f ca="1">staff[[#This Row],[current date]]-staff[[#This Row],[Date Joined]]</f>
        <v>1388</v>
      </c>
      <c r="H100" s="11">
        <f ca="1">staff[[#This Row],[tenure]]/365</f>
        <v>3.8027397260273972</v>
      </c>
      <c r="I100" s="24">
        <v>75970</v>
      </c>
      <c r="J100" s="5" t="s">
        <v>16</v>
      </c>
      <c r="K100" s="5" t="s">
        <v>205</v>
      </c>
      <c r="L100" s="24">
        <f ca="1">ROUNDUP(IF(staff[[#This Row],[tenure in year]]&gt;2,3%,2%)*staff[[#This Row],[Salary]],0)</f>
        <v>2280</v>
      </c>
      <c r="M100" s="5">
        <f>_xlfn.XLOOKUP(staff[[#This Row],[Rating]],Sheet6!$B$3:$B$7,Sheet6!$C$3:$C$7)</f>
        <v>3</v>
      </c>
    </row>
    <row r="101" spans="1:13">
      <c r="A101" s="5" t="s">
        <v>129</v>
      </c>
      <c r="B101" s="5" t="s">
        <v>8</v>
      </c>
      <c r="C101" s="5" t="s">
        <v>21</v>
      </c>
      <c r="D101" s="5">
        <v>28</v>
      </c>
      <c r="E101" s="10">
        <v>44124</v>
      </c>
      <c r="F101" s="10">
        <f t="shared" ca="1" si="3"/>
        <v>45573</v>
      </c>
      <c r="G101" s="5">
        <f ca="1">staff[[#This Row],[current date]]-staff[[#This Row],[Date Joined]]</f>
        <v>1449</v>
      </c>
      <c r="H101" s="11">
        <f ca="1">staff[[#This Row],[tenure]]/365</f>
        <v>3.9698630136986299</v>
      </c>
      <c r="I101" s="24">
        <v>75970</v>
      </c>
      <c r="J101" s="5" t="s">
        <v>16</v>
      </c>
      <c r="K101" s="5" t="s">
        <v>207</v>
      </c>
      <c r="L101" s="24">
        <f ca="1">ROUNDUP(IF(staff[[#This Row],[tenure in year]]&gt;2,3%,2%)*staff[[#This Row],[Salary]],0)</f>
        <v>2280</v>
      </c>
      <c r="M101" s="5">
        <f>_xlfn.XLOOKUP(staff[[#This Row],[Rating]],Sheet6!$B$3:$B$7,Sheet6!$C$3:$C$7)</f>
        <v>3</v>
      </c>
    </row>
    <row r="102" spans="1:13">
      <c r="A102" s="5" t="s">
        <v>62</v>
      </c>
      <c r="B102" s="5" t="s">
        <v>8</v>
      </c>
      <c r="C102" s="5" t="s">
        <v>9</v>
      </c>
      <c r="D102" s="5">
        <v>22</v>
      </c>
      <c r="E102" s="10">
        <v>44450</v>
      </c>
      <c r="F102" s="10">
        <f t="shared" ca="1" si="3"/>
        <v>45573</v>
      </c>
      <c r="G102" s="5">
        <f ca="1">staff[[#This Row],[current date]]-staff[[#This Row],[Date Joined]]</f>
        <v>1123</v>
      </c>
      <c r="H102" s="11">
        <f ca="1">staff[[#This Row],[tenure]]/365</f>
        <v>3.0767123287671234</v>
      </c>
      <c r="I102" s="24">
        <v>76900</v>
      </c>
      <c r="J102" s="5" t="s">
        <v>13</v>
      </c>
      <c r="K102" s="5" t="s">
        <v>205</v>
      </c>
      <c r="L102" s="24">
        <f ca="1">ROUNDUP(IF(staff[[#This Row],[tenure in year]]&gt;2,3%,2%)*staff[[#This Row],[Salary]],0)</f>
        <v>2307</v>
      </c>
      <c r="M102" s="5">
        <f>_xlfn.XLOOKUP(staff[[#This Row],[Rating]],Sheet6!$B$3:$B$7,Sheet6!$C$3:$C$7)</f>
        <v>4</v>
      </c>
    </row>
    <row r="103" spans="1:13">
      <c r="A103" s="5" t="s">
        <v>154</v>
      </c>
      <c r="B103" s="5" t="s">
        <v>8</v>
      </c>
      <c r="C103" s="5" t="s">
        <v>9</v>
      </c>
      <c r="D103" s="5">
        <v>22</v>
      </c>
      <c r="E103" s="10">
        <v>44388</v>
      </c>
      <c r="F103" s="10">
        <f t="shared" ca="1" si="3"/>
        <v>45573</v>
      </c>
      <c r="G103" s="5">
        <f ca="1">staff[[#This Row],[current date]]-staff[[#This Row],[Date Joined]]</f>
        <v>1185</v>
      </c>
      <c r="H103" s="11">
        <f ca="1">staff[[#This Row],[tenure]]/365</f>
        <v>3.2465753424657535</v>
      </c>
      <c r="I103" s="24">
        <v>76900</v>
      </c>
      <c r="J103" s="5" t="s">
        <v>13</v>
      </c>
      <c r="K103" s="5" t="s">
        <v>207</v>
      </c>
      <c r="L103" s="24">
        <f ca="1">ROUNDUP(IF(staff[[#This Row],[tenure in year]]&gt;2,3%,2%)*staff[[#This Row],[Salary]],0)</f>
        <v>2307</v>
      </c>
      <c r="M103" s="5">
        <f>_xlfn.XLOOKUP(staff[[#This Row],[Rating]],Sheet6!$B$3:$B$7,Sheet6!$C$3:$C$7)</f>
        <v>4</v>
      </c>
    </row>
    <row r="104" spans="1:13">
      <c r="A104" s="5" t="s">
        <v>203</v>
      </c>
      <c r="B104" s="5" t="s">
        <v>206</v>
      </c>
      <c r="C104" s="5"/>
      <c r="D104" s="5">
        <v>30.52</v>
      </c>
      <c r="E104" s="10">
        <v>44466</v>
      </c>
      <c r="F104" s="10">
        <f t="shared" ca="1" si="3"/>
        <v>45573</v>
      </c>
      <c r="G104" s="5">
        <f ca="1">staff[[#This Row],[current date]]-staff[[#This Row],[Date Joined]]</f>
        <v>1107</v>
      </c>
      <c r="H104" s="11">
        <f ca="1">staff[[#This Row],[tenure]]/365</f>
        <v>3.032876712328767</v>
      </c>
      <c r="I104" s="24">
        <v>77472.100000000006</v>
      </c>
      <c r="J104" s="5">
        <v>100</v>
      </c>
      <c r="K104" s="5" t="s">
        <v>205</v>
      </c>
      <c r="L104" s="24">
        <f ca="1">ROUNDUP(IF(staff[[#This Row],[tenure in year]]&gt;2,3%,2%)*staff[[#This Row],[Salary]],0)</f>
        <v>2325</v>
      </c>
      <c r="M104" s="5" t="e">
        <f>_xlfn.XLOOKUP(staff[[#This Row],[Rating]],Sheet6!$B$3:$B$7,Sheet6!$C$3:$C$7)</f>
        <v>#N/A</v>
      </c>
    </row>
    <row r="105" spans="1:13">
      <c r="A105" s="5" t="s">
        <v>72</v>
      </c>
      <c r="B105" s="5" t="s">
        <v>8</v>
      </c>
      <c r="C105" s="5" t="s">
        <v>9</v>
      </c>
      <c r="D105" s="5">
        <v>36</v>
      </c>
      <c r="E105" s="10">
        <v>44529</v>
      </c>
      <c r="F105" s="10">
        <f t="shared" ca="1" si="3"/>
        <v>45573</v>
      </c>
      <c r="G105" s="5">
        <f ca="1">staff[[#This Row],[current date]]-staff[[#This Row],[Date Joined]]</f>
        <v>1044</v>
      </c>
      <c r="H105" s="11">
        <f ca="1">staff[[#This Row],[tenure]]/365</f>
        <v>2.8602739726027395</v>
      </c>
      <c r="I105" s="24">
        <v>78390</v>
      </c>
      <c r="J105" s="5" t="s">
        <v>16</v>
      </c>
      <c r="K105" s="5" t="s">
        <v>205</v>
      </c>
      <c r="L105" s="24">
        <f ca="1">ROUNDUP(IF(staff[[#This Row],[tenure in year]]&gt;2,3%,2%)*staff[[#This Row],[Salary]],0)</f>
        <v>2352</v>
      </c>
      <c r="M105" s="5">
        <f>_xlfn.XLOOKUP(staff[[#This Row],[Rating]],Sheet6!$B$3:$B$7,Sheet6!$C$3:$C$7)</f>
        <v>3</v>
      </c>
    </row>
    <row r="106" spans="1:13">
      <c r="A106" s="5" t="s">
        <v>164</v>
      </c>
      <c r="B106" s="5" t="s">
        <v>8</v>
      </c>
      <c r="C106" s="5" t="s">
        <v>9</v>
      </c>
      <c r="D106" s="5">
        <v>36</v>
      </c>
      <c r="E106" s="10">
        <v>44468</v>
      </c>
      <c r="F106" s="10">
        <f t="shared" ca="1" si="3"/>
        <v>45573</v>
      </c>
      <c r="G106" s="5">
        <f ca="1">staff[[#This Row],[current date]]-staff[[#This Row],[Date Joined]]</f>
        <v>1105</v>
      </c>
      <c r="H106" s="11">
        <f ca="1">staff[[#This Row],[tenure]]/365</f>
        <v>3.0273972602739727</v>
      </c>
      <c r="I106" s="24">
        <v>78390</v>
      </c>
      <c r="J106" s="5" t="s">
        <v>16</v>
      </c>
      <c r="K106" s="5" t="s">
        <v>207</v>
      </c>
      <c r="L106" s="24">
        <f ca="1">ROUNDUP(IF(staff[[#This Row],[tenure in year]]&gt;2,3%,2%)*staff[[#This Row],[Salary]],0)</f>
        <v>2352</v>
      </c>
      <c r="M106" s="5">
        <f>_xlfn.XLOOKUP(staff[[#This Row],[Rating]],Sheet6!$B$3:$B$7,Sheet6!$C$3:$C$7)</f>
        <v>3</v>
      </c>
    </row>
    <row r="107" spans="1:13">
      <c r="A107" s="5" t="s">
        <v>48</v>
      </c>
      <c r="B107" s="5" t="s">
        <v>8</v>
      </c>
      <c r="C107" s="5" t="s">
        <v>19</v>
      </c>
      <c r="D107" s="5">
        <v>36</v>
      </c>
      <c r="E107" s="10">
        <v>44494</v>
      </c>
      <c r="F107" s="10">
        <f t="shared" ca="1" si="3"/>
        <v>45573</v>
      </c>
      <c r="G107" s="5">
        <f ca="1">staff[[#This Row],[current date]]-staff[[#This Row],[Date Joined]]</f>
        <v>1079</v>
      </c>
      <c r="H107" s="11">
        <f ca="1">staff[[#This Row],[tenure]]/365</f>
        <v>2.956164383561644</v>
      </c>
      <c r="I107" s="24">
        <v>78540</v>
      </c>
      <c r="J107" s="5" t="s">
        <v>16</v>
      </c>
      <c r="K107" s="5" t="s">
        <v>205</v>
      </c>
      <c r="L107" s="24">
        <f ca="1">ROUNDUP(IF(staff[[#This Row],[tenure in year]]&gt;2,3%,2%)*staff[[#This Row],[Salary]],0)</f>
        <v>2357</v>
      </c>
      <c r="M107" s="5">
        <f>_xlfn.XLOOKUP(staff[[#This Row],[Rating]],Sheet6!$B$3:$B$7,Sheet6!$C$3:$C$7)</f>
        <v>3</v>
      </c>
    </row>
    <row r="108" spans="1:13">
      <c r="A108" s="5" t="s">
        <v>141</v>
      </c>
      <c r="B108" s="5" t="s">
        <v>8</v>
      </c>
      <c r="C108" s="5" t="s">
        <v>19</v>
      </c>
      <c r="D108" s="5">
        <v>36</v>
      </c>
      <c r="E108" s="10">
        <v>44433</v>
      </c>
      <c r="F108" s="10">
        <f t="shared" ca="1" si="3"/>
        <v>45573</v>
      </c>
      <c r="G108" s="5">
        <f ca="1">staff[[#This Row],[current date]]-staff[[#This Row],[Date Joined]]</f>
        <v>1140</v>
      </c>
      <c r="H108" s="11">
        <f ca="1">staff[[#This Row],[tenure]]/365</f>
        <v>3.1232876712328768</v>
      </c>
      <c r="I108" s="24">
        <v>78540</v>
      </c>
      <c r="J108" s="5" t="s">
        <v>16</v>
      </c>
      <c r="K108" s="5" t="s">
        <v>207</v>
      </c>
      <c r="L108" s="24">
        <f ca="1">ROUNDUP(IF(staff[[#This Row],[tenure in year]]&gt;2,3%,2%)*staff[[#This Row],[Salary]],0)</f>
        <v>2357</v>
      </c>
      <c r="M108" s="5">
        <f>_xlfn.XLOOKUP(staff[[#This Row],[Rating]],Sheet6!$B$3:$B$7,Sheet6!$C$3:$C$7)</f>
        <v>3</v>
      </c>
    </row>
    <row r="109" spans="1:13">
      <c r="A109" s="5" t="s">
        <v>104</v>
      </c>
      <c r="B109" s="5" t="s">
        <v>15</v>
      </c>
      <c r="C109" s="5" t="s">
        <v>9</v>
      </c>
      <c r="D109" s="5">
        <v>20</v>
      </c>
      <c r="E109" s="10">
        <v>44744</v>
      </c>
      <c r="F109" s="10">
        <f t="shared" ca="1" si="3"/>
        <v>45573</v>
      </c>
      <c r="G109" s="5">
        <f ca="1">staff[[#This Row],[current date]]-staff[[#This Row],[Date Joined]]</f>
        <v>829</v>
      </c>
      <c r="H109" s="11">
        <f ca="1">staff[[#This Row],[tenure]]/365</f>
        <v>2.2712328767123289</v>
      </c>
      <c r="I109" s="24">
        <v>79570</v>
      </c>
      <c r="J109" s="5" t="s">
        <v>16</v>
      </c>
      <c r="K109" s="5" t="s">
        <v>205</v>
      </c>
      <c r="L109" s="24">
        <f ca="1">ROUNDUP(IF(staff[[#This Row],[tenure in year]]&gt;2,3%,2%)*staff[[#This Row],[Salary]],0)</f>
        <v>2388</v>
      </c>
      <c r="M109" s="5">
        <f>_xlfn.XLOOKUP(staff[[#This Row],[Rating]],Sheet6!$B$3:$B$7,Sheet6!$C$3:$C$7)</f>
        <v>3</v>
      </c>
    </row>
    <row r="110" spans="1:13">
      <c r="A110" s="5" t="s">
        <v>197</v>
      </c>
      <c r="B110" s="5" t="s">
        <v>15</v>
      </c>
      <c r="C110" s="5" t="s">
        <v>9</v>
      </c>
      <c r="D110" s="5">
        <v>20</v>
      </c>
      <c r="E110" s="10">
        <v>44683</v>
      </c>
      <c r="F110" s="10">
        <f t="shared" ca="1" si="3"/>
        <v>45573</v>
      </c>
      <c r="G110" s="5">
        <f ca="1">staff[[#This Row],[current date]]-staff[[#This Row],[Date Joined]]</f>
        <v>890</v>
      </c>
      <c r="H110" s="11">
        <f ca="1">staff[[#This Row],[tenure]]/365</f>
        <v>2.4383561643835616</v>
      </c>
      <c r="I110" s="24">
        <v>79570</v>
      </c>
      <c r="J110" s="5" t="s">
        <v>16</v>
      </c>
      <c r="K110" s="5" t="s">
        <v>207</v>
      </c>
      <c r="L110" s="24">
        <f ca="1">ROUNDUP(IF(staff[[#This Row],[tenure in year]]&gt;2,3%,2%)*staff[[#This Row],[Salary]],0)</f>
        <v>2388</v>
      </c>
      <c r="M110" s="5">
        <f>_xlfn.XLOOKUP(staff[[#This Row],[Rating]],Sheet6!$B$3:$B$7,Sheet6!$C$3:$C$7)</f>
        <v>3</v>
      </c>
    </row>
    <row r="111" spans="1:13">
      <c r="A111" s="5" t="s">
        <v>39</v>
      </c>
      <c r="B111" s="5" t="s">
        <v>8</v>
      </c>
      <c r="C111" s="5" t="s">
        <v>12</v>
      </c>
      <c r="D111" s="5">
        <v>25</v>
      </c>
      <c r="E111" s="10">
        <v>44694</v>
      </c>
      <c r="F111" s="10">
        <f t="shared" ca="1" si="3"/>
        <v>45573</v>
      </c>
      <c r="G111" s="5">
        <f ca="1">staff[[#This Row],[current date]]-staff[[#This Row],[Date Joined]]</f>
        <v>879</v>
      </c>
      <c r="H111" s="11">
        <f ca="1">staff[[#This Row],[tenure]]/365</f>
        <v>2.408219178082192</v>
      </c>
      <c r="I111" s="24">
        <v>80700</v>
      </c>
      <c r="J111" s="5" t="s">
        <v>13</v>
      </c>
      <c r="K111" s="5" t="s">
        <v>205</v>
      </c>
      <c r="L111" s="24">
        <f ca="1">ROUNDUP(IF(staff[[#This Row],[tenure in year]]&gt;2,3%,2%)*staff[[#This Row],[Salary]],0)</f>
        <v>2421</v>
      </c>
      <c r="M111" s="5">
        <f>_xlfn.XLOOKUP(staff[[#This Row],[Rating]],Sheet6!$B$3:$B$7,Sheet6!$C$3:$C$7)</f>
        <v>4</v>
      </c>
    </row>
    <row r="112" spans="1:13">
      <c r="A112" s="5" t="s">
        <v>133</v>
      </c>
      <c r="B112" s="5" t="s">
        <v>8</v>
      </c>
      <c r="C112" s="5" t="s">
        <v>12</v>
      </c>
      <c r="D112" s="5">
        <v>25</v>
      </c>
      <c r="E112" s="10">
        <v>44633</v>
      </c>
      <c r="F112" s="10">
        <f t="shared" ca="1" si="3"/>
        <v>45573</v>
      </c>
      <c r="G112" s="5">
        <f ca="1">staff[[#This Row],[current date]]-staff[[#This Row],[Date Joined]]</f>
        <v>940</v>
      </c>
      <c r="H112" s="11">
        <f ca="1">staff[[#This Row],[tenure]]/365</f>
        <v>2.5753424657534247</v>
      </c>
      <c r="I112" s="24">
        <v>80700</v>
      </c>
      <c r="J112" s="5" t="s">
        <v>13</v>
      </c>
      <c r="K112" s="5" t="s">
        <v>207</v>
      </c>
      <c r="L112" s="24">
        <f ca="1">ROUNDUP(IF(staff[[#This Row],[tenure in year]]&gt;2,3%,2%)*staff[[#This Row],[Salary]],0)</f>
        <v>2421</v>
      </c>
      <c r="M112" s="5">
        <f>_xlfn.XLOOKUP(staff[[#This Row],[Rating]],Sheet6!$B$3:$B$7,Sheet6!$C$3:$C$7)</f>
        <v>4</v>
      </c>
    </row>
    <row r="113" spans="1:13">
      <c r="A113" s="5" t="s">
        <v>92</v>
      </c>
      <c r="B113" s="5" t="s">
        <v>8</v>
      </c>
      <c r="C113" s="5" t="s">
        <v>12</v>
      </c>
      <c r="D113" s="5">
        <v>27</v>
      </c>
      <c r="E113" s="10">
        <v>44686</v>
      </c>
      <c r="F113" s="10">
        <f t="shared" ca="1" si="3"/>
        <v>45573</v>
      </c>
      <c r="G113" s="5">
        <f ca="1">staff[[#This Row],[current date]]-staff[[#This Row],[Date Joined]]</f>
        <v>887</v>
      </c>
      <c r="H113" s="11">
        <f ca="1">staff[[#This Row],[tenure]]/365</f>
        <v>2.43013698630137</v>
      </c>
      <c r="I113" s="24">
        <v>83750</v>
      </c>
      <c r="J113" s="5" t="s">
        <v>16</v>
      </c>
      <c r="K113" s="5" t="s">
        <v>205</v>
      </c>
      <c r="L113" s="24">
        <f ca="1">ROUNDUP(IF(staff[[#This Row],[tenure in year]]&gt;2,3%,2%)*staff[[#This Row],[Salary]],0)</f>
        <v>2513</v>
      </c>
      <c r="M113" s="5">
        <f>_xlfn.XLOOKUP(staff[[#This Row],[Rating]],Sheet6!$B$3:$B$7,Sheet6!$C$3:$C$7)</f>
        <v>3</v>
      </c>
    </row>
    <row r="114" spans="1:13">
      <c r="A114" s="5" t="s">
        <v>185</v>
      </c>
      <c r="B114" s="5" t="s">
        <v>8</v>
      </c>
      <c r="C114" s="5" t="s">
        <v>12</v>
      </c>
      <c r="D114" s="5">
        <v>27</v>
      </c>
      <c r="E114" s="10">
        <v>44625</v>
      </c>
      <c r="F114" s="10">
        <f t="shared" ca="1" si="3"/>
        <v>45573</v>
      </c>
      <c r="G114" s="5">
        <f ca="1">staff[[#This Row],[current date]]-staff[[#This Row],[Date Joined]]</f>
        <v>948</v>
      </c>
      <c r="H114" s="11">
        <f ca="1">staff[[#This Row],[tenure]]/365</f>
        <v>2.5972602739726027</v>
      </c>
      <c r="I114" s="24">
        <v>83750</v>
      </c>
      <c r="J114" s="5" t="s">
        <v>16</v>
      </c>
      <c r="K114" s="5" t="s">
        <v>207</v>
      </c>
      <c r="L114" s="24">
        <f ca="1">ROUNDUP(IF(staff[[#This Row],[tenure in year]]&gt;2,3%,2%)*staff[[#This Row],[Salary]],0)</f>
        <v>2513</v>
      </c>
      <c r="M114" s="5">
        <f>_xlfn.XLOOKUP(staff[[#This Row],[Rating]],Sheet6!$B$3:$B$7,Sheet6!$C$3:$C$7)</f>
        <v>3</v>
      </c>
    </row>
    <row r="115" spans="1:13">
      <c r="A115" s="5" t="s">
        <v>28</v>
      </c>
      <c r="B115" s="5" t="s">
        <v>8</v>
      </c>
      <c r="C115" s="5" t="s">
        <v>21</v>
      </c>
      <c r="D115" s="5">
        <v>34</v>
      </c>
      <c r="E115" s="10">
        <v>44459</v>
      </c>
      <c r="F115" s="10">
        <f t="shared" ca="1" si="3"/>
        <v>45573</v>
      </c>
      <c r="G115" s="5">
        <f ca="1">staff[[#This Row],[current date]]-staff[[#This Row],[Date Joined]]</f>
        <v>1114</v>
      </c>
      <c r="H115" s="11">
        <f ca="1">staff[[#This Row],[tenure]]/365</f>
        <v>3.0520547945205481</v>
      </c>
      <c r="I115" s="24">
        <v>85000</v>
      </c>
      <c r="J115" s="5" t="s">
        <v>16</v>
      </c>
      <c r="K115" s="5" t="s">
        <v>205</v>
      </c>
      <c r="L115" s="24">
        <f ca="1">ROUNDUP(IF(staff[[#This Row],[tenure in year]]&gt;2,3%,2%)*staff[[#This Row],[Salary]],0)</f>
        <v>2550</v>
      </c>
      <c r="M115" s="5">
        <f>_xlfn.XLOOKUP(staff[[#This Row],[Rating]],Sheet6!$B$3:$B$7,Sheet6!$C$3:$C$7)</f>
        <v>3</v>
      </c>
    </row>
    <row r="116" spans="1:13">
      <c r="A116" s="5" t="s">
        <v>122</v>
      </c>
      <c r="B116" s="5" t="s">
        <v>8</v>
      </c>
      <c r="C116" s="5" t="s">
        <v>21</v>
      </c>
      <c r="D116" s="5">
        <v>34</v>
      </c>
      <c r="E116" s="10">
        <v>44397</v>
      </c>
      <c r="F116" s="10">
        <f t="shared" ca="1" si="3"/>
        <v>45573</v>
      </c>
      <c r="G116" s="5">
        <f ca="1">staff[[#This Row],[current date]]-staff[[#This Row],[Date Joined]]</f>
        <v>1176</v>
      </c>
      <c r="H116" s="11">
        <f ca="1">staff[[#This Row],[tenure]]/365</f>
        <v>3.2219178082191782</v>
      </c>
      <c r="I116" s="24">
        <v>85000</v>
      </c>
      <c r="J116" s="5" t="s">
        <v>16</v>
      </c>
      <c r="K116" s="5" t="s">
        <v>207</v>
      </c>
      <c r="L116" s="24">
        <f ca="1">ROUNDUP(IF(staff[[#This Row],[tenure in year]]&gt;2,3%,2%)*staff[[#This Row],[Salary]],0)</f>
        <v>2550</v>
      </c>
      <c r="M116" s="5">
        <f>_xlfn.XLOOKUP(staff[[#This Row],[Rating]],Sheet6!$B$3:$B$7,Sheet6!$C$3:$C$7)</f>
        <v>3</v>
      </c>
    </row>
    <row r="117" spans="1:13">
      <c r="A117" s="5" t="s">
        <v>88</v>
      </c>
      <c r="B117" s="5" t="s">
        <v>8</v>
      </c>
      <c r="C117" s="5" t="s">
        <v>21</v>
      </c>
      <c r="D117" s="5">
        <v>33</v>
      </c>
      <c r="E117" s="10">
        <v>44809</v>
      </c>
      <c r="F117" s="10">
        <f t="shared" ca="1" si="3"/>
        <v>45573</v>
      </c>
      <c r="G117" s="5">
        <f ca="1">staff[[#This Row],[current date]]-staff[[#This Row],[Date Joined]]</f>
        <v>764</v>
      </c>
      <c r="H117" s="11">
        <f ca="1">staff[[#This Row],[tenure]]/365</f>
        <v>2.0931506849315067</v>
      </c>
      <c r="I117" s="24">
        <v>86570</v>
      </c>
      <c r="J117" s="5" t="s">
        <v>16</v>
      </c>
      <c r="K117" s="5" t="s">
        <v>205</v>
      </c>
      <c r="L117" s="24">
        <f ca="1">ROUNDUP(IF(staff[[#This Row],[tenure in year]]&gt;2,3%,2%)*staff[[#This Row],[Salary]],0)</f>
        <v>2598</v>
      </c>
      <c r="M117" s="5">
        <f>_xlfn.XLOOKUP(staff[[#This Row],[Rating]],Sheet6!$B$3:$B$7,Sheet6!$C$3:$C$7)</f>
        <v>3</v>
      </c>
    </row>
    <row r="118" spans="1:13">
      <c r="A118" s="5" t="s">
        <v>181</v>
      </c>
      <c r="B118" s="5" t="s">
        <v>8</v>
      </c>
      <c r="C118" s="5" t="s">
        <v>21</v>
      </c>
      <c r="D118" s="5">
        <v>33</v>
      </c>
      <c r="E118" s="10">
        <v>44747</v>
      </c>
      <c r="F118" s="10">
        <f t="shared" ca="1" si="3"/>
        <v>45573</v>
      </c>
      <c r="G118" s="5">
        <f ca="1">staff[[#This Row],[current date]]-staff[[#This Row],[Date Joined]]</f>
        <v>826</v>
      </c>
      <c r="H118" s="11">
        <f ca="1">staff[[#This Row],[tenure]]/365</f>
        <v>2.2630136986301368</v>
      </c>
      <c r="I118" s="24">
        <v>86570</v>
      </c>
      <c r="J118" s="5" t="s">
        <v>16</v>
      </c>
      <c r="K118" s="5" t="s">
        <v>207</v>
      </c>
      <c r="L118" s="24">
        <f ca="1">ROUNDUP(IF(staff[[#This Row],[tenure in year]]&gt;2,3%,2%)*staff[[#This Row],[Salary]],0)</f>
        <v>2598</v>
      </c>
      <c r="M118" s="5">
        <f>_xlfn.XLOOKUP(staff[[#This Row],[Rating]],Sheet6!$B$3:$B$7,Sheet6!$C$3:$C$7)</f>
        <v>3</v>
      </c>
    </row>
    <row r="119" spans="1:13">
      <c r="A119" s="5" t="s">
        <v>74</v>
      </c>
      <c r="B119" s="5" t="s">
        <v>8</v>
      </c>
      <c r="C119" s="5" t="s">
        <v>12</v>
      </c>
      <c r="D119" s="5">
        <v>40</v>
      </c>
      <c r="E119" s="10">
        <v>44337</v>
      </c>
      <c r="F119" s="10">
        <f t="shared" ca="1" si="3"/>
        <v>45573</v>
      </c>
      <c r="G119" s="5">
        <f ca="1">staff[[#This Row],[current date]]-staff[[#This Row],[Date Joined]]</f>
        <v>1236</v>
      </c>
      <c r="H119" s="11">
        <f ca="1">staff[[#This Row],[tenure]]/365</f>
        <v>3.3863013698630136</v>
      </c>
      <c r="I119" s="24">
        <v>87620</v>
      </c>
      <c r="J119" s="5" t="s">
        <v>16</v>
      </c>
      <c r="K119" s="5" t="s">
        <v>205</v>
      </c>
      <c r="L119" s="24">
        <f ca="1">ROUNDUP(IF(staff[[#This Row],[tenure in year]]&gt;2,3%,2%)*staff[[#This Row],[Salary]],0)</f>
        <v>2629</v>
      </c>
      <c r="M119" s="5">
        <f>_xlfn.XLOOKUP(staff[[#This Row],[Rating]],Sheet6!$B$3:$B$7,Sheet6!$C$3:$C$7)</f>
        <v>3</v>
      </c>
    </row>
    <row r="120" spans="1:13">
      <c r="A120" s="5" t="s">
        <v>166</v>
      </c>
      <c r="B120" s="5" t="s">
        <v>8</v>
      </c>
      <c r="C120" s="5" t="s">
        <v>12</v>
      </c>
      <c r="D120" s="5">
        <v>40</v>
      </c>
      <c r="E120" s="10">
        <v>44276</v>
      </c>
      <c r="F120" s="10">
        <f t="shared" ca="1" si="3"/>
        <v>45573</v>
      </c>
      <c r="G120" s="5">
        <f ca="1">staff[[#This Row],[current date]]-staff[[#This Row],[Date Joined]]</f>
        <v>1297</v>
      </c>
      <c r="H120" s="11">
        <f ca="1">staff[[#This Row],[tenure]]/365</f>
        <v>3.5534246575342467</v>
      </c>
      <c r="I120" s="24">
        <v>87620</v>
      </c>
      <c r="J120" s="5" t="s">
        <v>16</v>
      </c>
      <c r="K120" s="5" t="s">
        <v>207</v>
      </c>
      <c r="L120" s="24">
        <f ca="1">ROUNDUP(IF(staff[[#This Row],[tenure in year]]&gt;2,3%,2%)*staff[[#This Row],[Salary]],0)</f>
        <v>2629</v>
      </c>
      <c r="M120" s="5">
        <f>_xlfn.XLOOKUP(staff[[#This Row],[Rating]],Sheet6!$B$3:$B$7,Sheet6!$C$3:$C$7)</f>
        <v>3</v>
      </c>
    </row>
    <row r="121" spans="1:13">
      <c r="A121" s="5" t="s">
        <v>23</v>
      </c>
      <c r="B121" s="5" t="s">
        <v>15</v>
      </c>
      <c r="C121" s="5" t="s">
        <v>12</v>
      </c>
      <c r="D121" s="5">
        <v>37</v>
      </c>
      <c r="E121" s="10">
        <v>44338</v>
      </c>
      <c r="F121" s="10">
        <f t="shared" ca="1" si="3"/>
        <v>45573</v>
      </c>
      <c r="G121" s="5">
        <f ca="1">staff[[#This Row],[current date]]-staff[[#This Row],[Date Joined]]</f>
        <v>1235</v>
      </c>
      <c r="H121" s="11">
        <f ca="1">staff[[#This Row],[tenure]]/365</f>
        <v>3.3835616438356166</v>
      </c>
      <c r="I121" s="24">
        <v>88050</v>
      </c>
      <c r="J121" s="5" t="s">
        <v>24</v>
      </c>
      <c r="K121" s="5" t="s">
        <v>205</v>
      </c>
      <c r="L121" s="24">
        <f ca="1">ROUNDUP(IF(staff[[#This Row],[tenure in year]]&gt;2,3%,2%)*staff[[#This Row],[Salary]],0)</f>
        <v>2642</v>
      </c>
      <c r="M121" s="5">
        <f>_xlfn.XLOOKUP(staff[[#This Row],[Rating]],Sheet6!$B$3:$B$7,Sheet6!$C$3:$C$7)</f>
        <v>2</v>
      </c>
    </row>
    <row r="122" spans="1:13">
      <c r="A122" s="5" t="s">
        <v>118</v>
      </c>
      <c r="B122" s="5" t="s">
        <v>15</v>
      </c>
      <c r="C122" s="5" t="s">
        <v>12</v>
      </c>
      <c r="D122" s="5">
        <v>37</v>
      </c>
      <c r="E122" s="10">
        <v>44277</v>
      </c>
      <c r="F122" s="10">
        <f t="shared" ca="1" si="3"/>
        <v>45573</v>
      </c>
      <c r="G122" s="5">
        <f ca="1">staff[[#This Row],[current date]]-staff[[#This Row],[Date Joined]]</f>
        <v>1296</v>
      </c>
      <c r="H122" s="11">
        <f ca="1">staff[[#This Row],[tenure]]/365</f>
        <v>3.5506849315068494</v>
      </c>
      <c r="I122" s="24">
        <v>88050</v>
      </c>
      <c r="J122" s="5" t="s">
        <v>24</v>
      </c>
      <c r="K122" s="5" t="s">
        <v>207</v>
      </c>
      <c r="L122" s="24">
        <f ca="1">ROUNDUP(IF(staff[[#This Row],[tenure in year]]&gt;2,3%,2%)*staff[[#This Row],[Salary]],0)</f>
        <v>2642</v>
      </c>
      <c r="M122" s="5">
        <f>_xlfn.XLOOKUP(staff[[#This Row],[Rating]],Sheet6!$B$3:$B$7,Sheet6!$C$3:$C$7)</f>
        <v>2</v>
      </c>
    </row>
    <row r="123" spans="1:13">
      <c r="A123" s="5" t="s">
        <v>11</v>
      </c>
      <c r="B123" s="5" t="s">
        <v>206</v>
      </c>
      <c r="C123" s="5" t="s">
        <v>12</v>
      </c>
      <c r="D123" s="5">
        <v>26</v>
      </c>
      <c r="E123" s="10">
        <v>44271</v>
      </c>
      <c r="F123" s="10">
        <f t="shared" ca="1" si="3"/>
        <v>45573</v>
      </c>
      <c r="G123" s="5">
        <f ca="1">staff[[#This Row],[current date]]-staff[[#This Row],[Date Joined]]</f>
        <v>1302</v>
      </c>
      <c r="H123" s="11">
        <f ca="1">staff[[#This Row],[tenure]]/365</f>
        <v>3.5671232876712327</v>
      </c>
      <c r="I123" s="24">
        <v>90700</v>
      </c>
      <c r="J123" s="5" t="s">
        <v>13</v>
      </c>
      <c r="K123" s="5" t="s">
        <v>205</v>
      </c>
      <c r="L123" s="24">
        <f ca="1">ROUNDUP(IF(staff[[#This Row],[tenure in year]]&gt;2,3%,2%)*staff[[#This Row],[Salary]],0)</f>
        <v>2721</v>
      </c>
      <c r="M123" s="5">
        <f>_xlfn.XLOOKUP(staff[[#This Row],[Rating]],Sheet6!$B$3:$B$7,Sheet6!$C$3:$C$7)</f>
        <v>4</v>
      </c>
    </row>
    <row r="124" spans="1:13">
      <c r="A124" s="5" t="s">
        <v>112</v>
      </c>
      <c r="B124" s="5" t="s">
        <v>206</v>
      </c>
      <c r="C124" s="5" t="s">
        <v>12</v>
      </c>
      <c r="D124" s="5">
        <v>27</v>
      </c>
      <c r="E124" s="10">
        <v>44212</v>
      </c>
      <c r="F124" s="10">
        <f t="shared" ca="1" si="3"/>
        <v>45573</v>
      </c>
      <c r="G124" s="5">
        <f ca="1">staff[[#This Row],[current date]]-staff[[#This Row],[Date Joined]]</f>
        <v>1361</v>
      </c>
      <c r="H124" s="11">
        <f ca="1">staff[[#This Row],[tenure]]/365</f>
        <v>3.7287671232876711</v>
      </c>
      <c r="I124" s="24">
        <v>90700</v>
      </c>
      <c r="J124" s="5" t="s">
        <v>13</v>
      </c>
      <c r="K124" s="5" t="s">
        <v>207</v>
      </c>
      <c r="L124" s="24">
        <f ca="1">ROUNDUP(IF(staff[[#This Row],[tenure in year]]&gt;2,3%,2%)*staff[[#This Row],[Salary]],0)</f>
        <v>2721</v>
      </c>
      <c r="M124" s="5">
        <f>_xlfn.XLOOKUP(staff[[#This Row],[Rating]],Sheet6!$B$3:$B$7,Sheet6!$C$3:$C$7)</f>
        <v>4</v>
      </c>
    </row>
    <row r="125" spans="1:13">
      <c r="A125" s="5" t="s">
        <v>52</v>
      </c>
      <c r="B125" s="5" t="s">
        <v>206</v>
      </c>
      <c r="C125" s="5" t="s">
        <v>12</v>
      </c>
      <c r="D125" s="5">
        <v>32</v>
      </c>
      <c r="E125" s="10">
        <v>44774</v>
      </c>
      <c r="F125" s="10">
        <f t="shared" ca="1" si="3"/>
        <v>45573</v>
      </c>
      <c r="G125" s="5">
        <f ca="1">staff[[#This Row],[current date]]-staff[[#This Row],[Date Joined]]</f>
        <v>799</v>
      </c>
      <c r="H125" s="11">
        <f ca="1">staff[[#This Row],[tenure]]/365</f>
        <v>2.1890410958904107</v>
      </c>
      <c r="I125" s="24">
        <v>91310</v>
      </c>
      <c r="J125" s="5" t="s">
        <v>16</v>
      </c>
      <c r="K125" s="5" t="s">
        <v>205</v>
      </c>
      <c r="L125" s="24">
        <f ca="1">ROUNDUP(IF(staff[[#This Row],[tenure in year]]&gt;2,3%,2%)*staff[[#This Row],[Salary]],0)</f>
        <v>2740</v>
      </c>
      <c r="M125" s="5">
        <f>_xlfn.XLOOKUP(staff[[#This Row],[Rating]],Sheet6!$B$3:$B$7,Sheet6!$C$3:$C$7)</f>
        <v>3</v>
      </c>
    </row>
    <row r="126" spans="1:13">
      <c r="A126" s="5" t="s">
        <v>145</v>
      </c>
      <c r="B126" s="5" t="s">
        <v>206</v>
      </c>
      <c r="C126" s="5" t="s">
        <v>12</v>
      </c>
      <c r="D126" s="5">
        <v>32</v>
      </c>
      <c r="E126" s="10">
        <v>44713</v>
      </c>
      <c r="F126" s="10">
        <f t="shared" ca="1" si="3"/>
        <v>45573</v>
      </c>
      <c r="G126" s="5">
        <f ca="1">staff[[#This Row],[current date]]-staff[[#This Row],[Date Joined]]</f>
        <v>860</v>
      </c>
      <c r="H126" s="11">
        <f ca="1">staff[[#This Row],[tenure]]/365</f>
        <v>2.3561643835616439</v>
      </c>
      <c r="I126" s="24">
        <v>91310</v>
      </c>
      <c r="J126" s="5" t="s">
        <v>16</v>
      </c>
      <c r="K126" s="5" t="s">
        <v>207</v>
      </c>
      <c r="L126" s="24">
        <f ca="1">ROUNDUP(IF(staff[[#This Row],[tenure in year]]&gt;2,3%,2%)*staff[[#This Row],[Salary]],0)</f>
        <v>2740</v>
      </c>
      <c r="M126" s="5">
        <f>_xlfn.XLOOKUP(staff[[#This Row],[Rating]],Sheet6!$B$3:$B$7,Sheet6!$C$3:$C$7)</f>
        <v>3</v>
      </c>
    </row>
    <row r="127" spans="1:13">
      <c r="A127" s="5" t="s">
        <v>68</v>
      </c>
      <c r="B127" s="5" t="s">
        <v>15</v>
      </c>
      <c r="C127" s="5" t="s">
        <v>21</v>
      </c>
      <c r="D127" s="5">
        <v>27</v>
      </c>
      <c r="E127" s="10">
        <v>44236</v>
      </c>
      <c r="F127" s="10">
        <f t="shared" ca="1" si="3"/>
        <v>45573</v>
      </c>
      <c r="G127" s="5">
        <f ca="1">staff[[#This Row],[current date]]-staff[[#This Row],[Date Joined]]</f>
        <v>1337</v>
      </c>
      <c r="H127" s="11">
        <f ca="1">staff[[#This Row],[tenure]]/365</f>
        <v>3.6630136986301371</v>
      </c>
      <c r="I127" s="24">
        <v>91650</v>
      </c>
      <c r="J127" s="5" t="s">
        <v>13</v>
      </c>
      <c r="K127" s="5" t="s">
        <v>205</v>
      </c>
      <c r="L127" s="24">
        <f ca="1">ROUNDUP(IF(staff[[#This Row],[tenure in year]]&gt;2,3%,2%)*staff[[#This Row],[Salary]],0)</f>
        <v>2750</v>
      </c>
      <c r="M127" s="5">
        <f>_xlfn.XLOOKUP(staff[[#This Row],[Rating]],Sheet6!$B$3:$B$7,Sheet6!$C$3:$C$7)</f>
        <v>4</v>
      </c>
    </row>
    <row r="128" spans="1:13">
      <c r="A128" s="5" t="s">
        <v>160</v>
      </c>
      <c r="B128" s="5" t="s">
        <v>15</v>
      </c>
      <c r="C128" s="5" t="s">
        <v>21</v>
      </c>
      <c r="D128" s="5">
        <v>27</v>
      </c>
      <c r="E128" s="10">
        <v>44174</v>
      </c>
      <c r="F128" s="10">
        <f t="shared" ca="1" si="3"/>
        <v>45573</v>
      </c>
      <c r="G128" s="5">
        <f ca="1">staff[[#This Row],[current date]]-staff[[#This Row],[Date Joined]]</f>
        <v>1399</v>
      </c>
      <c r="H128" s="11">
        <f ca="1">staff[[#This Row],[tenure]]/365</f>
        <v>3.8328767123287673</v>
      </c>
      <c r="I128" s="24">
        <v>91650</v>
      </c>
      <c r="J128" s="5" t="s">
        <v>13</v>
      </c>
      <c r="K128" s="5" t="s">
        <v>207</v>
      </c>
      <c r="L128" s="24">
        <f ca="1">ROUNDUP(IF(staff[[#This Row],[tenure in year]]&gt;2,3%,2%)*staff[[#This Row],[Salary]],0)</f>
        <v>2750</v>
      </c>
      <c r="M128" s="5">
        <f>_xlfn.XLOOKUP(staff[[#This Row],[Rating]],Sheet6!$B$3:$B$7,Sheet6!$C$3:$C$7)</f>
        <v>4</v>
      </c>
    </row>
    <row r="129" spans="1:13">
      <c r="A129" s="5" t="s">
        <v>102</v>
      </c>
      <c r="B129" s="5" t="s">
        <v>8</v>
      </c>
      <c r="C129" s="5" t="s">
        <v>21</v>
      </c>
      <c r="D129" s="5">
        <v>34</v>
      </c>
      <c r="E129" s="10">
        <v>44445</v>
      </c>
      <c r="F129" s="10">
        <f t="shared" ca="1" si="3"/>
        <v>45573</v>
      </c>
      <c r="G129" s="5">
        <f ca="1">staff[[#This Row],[current date]]-staff[[#This Row],[Date Joined]]</f>
        <v>1128</v>
      </c>
      <c r="H129" s="11">
        <f ca="1">staff[[#This Row],[tenure]]/365</f>
        <v>3.0904109589041098</v>
      </c>
      <c r="I129" s="24">
        <v>92450</v>
      </c>
      <c r="J129" s="5" t="s">
        <v>16</v>
      </c>
      <c r="K129" s="5" t="s">
        <v>205</v>
      </c>
      <c r="L129" s="24">
        <f ca="1">ROUNDUP(IF(staff[[#This Row],[tenure in year]]&gt;2,3%,2%)*staff[[#This Row],[Salary]],0)</f>
        <v>2774</v>
      </c>
      <c r="M129" s="5">
        <f>_xlfn.XLOOKUP(staff[[#This Row],[Rating]],Sheet6!$B$3:$B$7,Sheet6!$C$3:$C$7)</f>
        <v>3</v>
      </c>
    </row>
    <row r="130" spans="1:13">
      <c r="A130" s="5" t="s">
        <v>195</v>
      </c>
      <c r="B130" s="5" t="s">
        <v>8</v>
      </c>
      <c r="C130" s="5" t="s">
        <v>21</v>
      </c>
      <c r="D130" s="5">
        <v>34</v>
      </c>
      <c r="E130" s="10">
        <v>44383</v>
      </c>
      <c r="F130" s="10">
        <f t="shared" ref="F130:F161" ca="1" si="4">TODAY()</f>
        <v>45573</v>
      </c>
      <c r="G130" s="5">
        <f ca="1">staff[[#This Row],[current date]]-staff[[#This Row],[Date Joined]]</f>
        <v>1190</v>
      </c>
      <c r="H130" s="11">
        <f ca="1">staff[[#This Row],[tenure]]/365</f>
        <v>3.2602739726027399</v>
      </c>
      <c r="I130" s="24">
        <v>92450</v>
      </c>
      <c r="J130" s="5" t="s">
        <v>16</v>
      </c>
      <c r="K130" s="5" t="s">
        <v>207</v>
      </c>
      <c r="L130" s="24">
        <f ca="1">ROUNDUP(IF(staff[[#This Row],[tenure in year]]&gt;2,3%,2%)*staff[[#This Row],[Salary]],0)</f>
        <v>2774</v>
      </c>
      <c r="M130" s="5">
        <f>_xlfn.XLOOKUP(staff[[#This Row],[Rating]],Sheet6!$B$3:$B$7,Sheet6!$C$3:$C$7)</f>
        <v>3</v>
      </c>
    </row>
    <row r="131" spans="1:13">
      <c r="A131" s="5" t="s">
        <v>77</v>
      </c>
      <c r="B131" s="5" t="s">
        <v>8</v>
      </c>
      <c r="C131" s="5" t="s">
        <v>19</v>
      </c>
      <c r="D131" s="5">
        <v>25</v>
      </c>
      <c r="E131" s="10">
        <v>44205</v>
      </c>
      <c r="F131" s="10">
        <f t="shared" ca="1" si="4"/>
        <v>45573</v>
      </c>
      <c r="G131" s="5">
        <f ca="1">staff[[#This Row],[current date]]-staff[[#This Row],[Date Joined]]</f>
        <v>1368</v>
      </c>
      <c r="H131" s="11">
        <f ca="1">staff[[#This Row],[tenure]]/365</f>
        <v>3.7479452054794522</v>
      </c>
      <c r="I131" s="24">
        <v>92700</v>
      </c>
      <c r="J131" s="5" t="s">
        <v>16</v>
      </c>
      <c r="K131" s="5" t="s">
        <v>205</v>
      </c>
      <c r="L131" s="24">
        <f ca="1">ROUNDUP(IF(staff[[#This Row],[tenure in year]]&gt;2,3%,2%)*staff[[#This Row],[Salary]],0)</f>
        <v>2781</v>
      </c>
      <c r="M131" s="5">
        <f>_xlfn.XLOOKUP(staff[[#This Row],[Rating]],Sheet6!$B$3:$B$7,Sheet6!$C$3:$C$7)</f>
        <v>3</v>
      </c>
    </row>
    <row r="132" spans="1:13">
      <c r="A132" s="5" t="s">
        <v>169</v>
      </c>
      <c r="B132" s="5" t="s">
        <v>8</v>
      </c>
      <c r="C132" s="5" t="s">
        <v>19</v>
      </c>
      <c r="D132" s="5">
        <v>25</v>
      </c>
      <c r="E132" s="10">
        <v>44144</v>
      </c>
      <c r="F132" s="10">
        <f t="shared" ca="1" si="4"/>
        <v>45573</v>
      </c>
      <c r="G132" s="5">
        <f ca="1">staff[[#This Row],[current date]]-staff[[#This Row],[Date Joined]]</f>
        <v>1429</v>
      </c>
      <c r="H132" s="11">
        <f ca="1">staff[[#This Row],[tenure]]/365</f>
        <v>3.9150684931506849</v>
      </c>
      <c r="I132" s="24">
        <v>92700</v>
      </c>
      <c r="J132" s="5" t="s">
        <v>16</v>
      </c>
      <c r="K132" s="5" t="s">
        <v>207</v>
      </c>
      <c r="L132" s="24">
        <f ca="1">ROUNDUP(IF(staff[[#This Row],[tenure in year]]&gt;2,3%,2%)*staff[[#This Row],[Salary]],0)</f>
        <v>2781</v>
      </c>
      <c r="M132" s="5">
        <f>_xlfn.XLOOKUP(staff[[#This Row],[Rating]],Sheet6!$B$3:$B$7,Sheet6!$C$3:$C$7)</f>
        <v>3</v>
      </c>
    </row>
    <row r="133" spans="1:13">
      <c r="A133" s="5" t="s">
        <v>71</v>
      </c>
      <c r="B133" s="5" t="s">
        <v>8</v>
      </c>
      <c r="C133" s="5" t="s">
        <v>12</v>
      </c>
      <c r="D133" s="5">
        <v>33</v>
      </c>
      <c r="E133" s="10">
        <v>44190</v>
      </c>
      <c r="F133" s="10">
        <f t="shared" ca="1" si="4"/>
        <v>45573</v>
      </c>
      <c r="G133" s="5">
        <f ca="1">staff[[#This Row],[current date]]-staff[[#This Row],[Date Joined]]</f>
        <v>1383</v>
      </c>
      <c r="H133" s="11">
        <f ca="1">staff[[#This Row],[tenure]]/365</f>
        <v>3.7890410958904108</v>
      </c>
      <c r="I133" s="24">
        <v>96140</v>
      </c>
      <c r="J133" s="5" t="s">
        <v>16</v>
      </c>
      <c r="K133" s="5" t="s">
        <v>205</v>
      </c>
      <c r="L133" s="24">
        <f ca="1">ROUNDUP(IF(staff[[#This Row],[tenure in year]]&gt;2,3%,2%)*staff[[#This Row],[Salary]],0)</f>
        <v>2885</v>
      </c>
      <c r="M133" s="5">
        <f>_xlfn.XLOOKUP(staff[[#This Row],[Rating]],Sheet6!$B$3:$B$7,Sheet6!$C$3:$C$7)</f>
        <v>3</v>
      </c>
    </row>
    <row r="134" spans="1:13">
      <c r="A134" s="5" t="s">
        <v>163</v>
      </c>
      <c r="B134" s="5" t="s">
        <v>8</v>
      </c>
      <c r="C134" s="5" t="s">
        <v>12</v>
      </c>
      <c r="D134" s="5">
        <v>33</v>
      </c>
      <c r="E134" s="10">
        <v>44129</v>
      </c>
      <c r="F134" s="10">
        <f t="shared" ca="1" si="4"/>
        <v>45573</v>
      </c>
      <c r="G134" s="5">
        <f ca="1">staff[[#This Row],[current date]]-staff[[#This Row],[Date Joined]]</f>
        <v>1444</v>
      </c>
      <c r="H134" s="11">
        <f ca="1">staff[[#This Row],[tenure]]/365</f>
        <v>3.956164383561644</v>
      </c>
      <c r="I134" s="24">
        <v>96140</v>
      </c>
      <c r="J134" s="5" t="s">
        <v>16</v>
      </c>
      <c r="K134" s="5" t="s">
        <v>207</v>
      </c>
      <c r="L134" s="24">
        <f ca="1">ROUNDUP(IF(staff[[#This Row],[tenure in year]]&gt;2,3%,2%)*staff[[#This Row],[Salary]],0)</f>
        <v>2885</v>
      </c>
      <c r="M134" s="5">
        <f>_xlfn.XLOOKUP(staff[[#This Row],[Rating]],Sheet6!$B$3:$B$7,Sheet6!$C$3:$C$7)</f>
        <v>3</v>
      </c>
    </row>
    <row r="135" spans="1:13">
      <c r="A135" s="5" t="s">
        <v>85</v>
      </c>
      <c r="B135" s="5" t="s">
        <v>15</v>
      </c>
      <c r="C135" s="5" t="s">
        <v>21</v>
      </c>
      <c r="D135" s="5">
        <v>30</v>
      </c>
      <c r="E135" s="10">
        <v>44606</v>
      </c>
      <c r="F135" s="10">
        <f t="shared" ca="1" si="4"/>
        <v>45573</v>
      </c>
      <c r="G135" s="5">
        <f ca="1">staff[[#This Row],[current date]]-staff[[#This Row],[Date Joined]]</f>
        <v>967</v>
      </c>
      <c r="H135" s="11">
        <f ca="1">staff[[#This Row],[tenure]]/365</f>
        <v>2.6493150684931508</v>
      </c>
      <c r="I135" s="24">
        <v>96800</v>
      </c>
      <c r="J135" s="5" t="s">
        <v>16</v>
      </c>
      <c r="K135" s="5" t="s">
        <v>205</v>
      </c>
      <c r="L135" s="24">
        <f ca="1">ROUNDUP(IF(staff[[#This Row],[tenure in year]]&gt;2,3%,2%)*staff[[#This Row],[Salary]],0)</f>
        <v>2904</v>
      </c>
      <c r="M135" s="5">
        <f>_xlfn.XLOOKUP(staff[[#This Row],[Rating]],Sheet6!$B$3:$B$7,Sheet6!$C$3:$C$7)</f>
        <v>3</v>
      </c>
    </row>
    <row r="136" spans="1:13">
      <c r="A136" s="5" t="s">
        <v>177</v>
      </c>
      <c r="B136" s="5" t="s">
        <v>15</v>
      </c>
      <c r="C136" s="5" t="s">
        <v>21</v>
      </c>
      <c r="D136" s="5">
        <v>30</v>
      </c>
      <c r="E136" s="10">
        <v>44544</v>
      </c>
      <c r="F136" s="10">
        <f t="shared" ca="1" si="4"/>
        <v>45573</v>
      </c>
      <c r="G136" s="5">
        <f ca="1">staff[[#This Row],[current date]]-staff[[#This Row],[Date Joined]]</f>
        <v>1029</v>
      </c>
      <c r="H136" s="11">
        <f ca="1">staff[[#This Row],[tenure]]/365</f>
        <v>2.8191780821917809</v>
      </c>
      <c r="I136" s="24">
        <v>96800</v>
      </c>
      <c r="J136" s="5" t="s">
        <v>16</v>
      </c>
      <c r="K136" s="5" t="s">
        <v>207</v>
      </c>
      <c r="L136" s="24">
        <f ca="1">ROUNDUP(IF(staff[[#This Row],[tenure in year]]&gt;2,3%,2%)*staff[[#This Row],[Salary]],0)</f>
        <v>2904</v>
      </c>
      <c r="M136" s="5">
        <f>_xlfn.XLOOKUP(staff[[#This Row],[Rating]],Sheet6!$B$3:$B$7,Sheet6!$C$3:$C$7)</f>
        <v>3</v>
      </c>
    </row>
    <row r="137" spans="1:13">
      <c r="A137" s="5" t="s">
        <v>105</v>
      </c>
      <c r="B137" s="5" t="s">
        <v>15</v>
      </c>
      <c r="C137" s="5" t="s">
        <v>9</v>
      </c>
      <c r="D137" s="5">
        <v>40</v>
      </c>
      <c r="E137" s="10">
        <v>44263</v>
      </c>
      <c r="F137" s="10">
        <f t="shared" ca="1" si="4"/>
        <v>45573</v>
      </c>
      <c r="G137" s="5">
        <f ca="1">staff[[#This Row],[current date]]-staff[[#This Row],[Date Joined]]</f>
        <v>1310</v>
      </c>
      <c r="H137" s="11">
        <f ca="1">staff[[#This Row],[tenure]]/365</f>
        <v>3.5890410958904111</v>
      </c>
      <c r="I137" s="24">
        <v>99750</v>
      </c>
      <c r="J137" s="5" t="s">
        <v>16</v>
      </c>
      <c r="K137" s="5" t="s">
        <v>205</v>
      </c>
      <c r="L137" s="24">
        <f ca="1">ROUNDUP(IF(staff[[#This Row],[tenure in year]]&gt;2,3%,2%)*staff[[#This Row],[Salary]],0)</f>
        <v>2993</v>
      </c>
      <c r="M137" s="5">
        <f>_xlfn.XLOOKUP(staff[[#This Row],[Rating]],Sheet6!$B$3:$B$7,Sheet6!$C$3:$C$7)</f>
        <v>3</v>
      </c>
    </row>
    <row r="138" spans="1:13">
      <c r="A138" s="5" t="s">
        <v>198</v>
      </c>
      <c r="B138" s="5" t="s">
        <v>15</v>
      </c>
      <c r="C138" s="5" t="s">
        <v>9</v>
      </c>
      <c r="D138" s="5">
        <v>40</v>
      </c>
      <c r="E138" s="10">
        <v>44204</v>
      </c>
      <c r="F138" s="10">
        <f t="shared" ca="1" si="4"/>
        <v>45573</v>
      </c>
      <c r="G138" s="5">
        <f ca="1">staff[[#This Row],[current date]]-staff[[#This Row],[Date Joined]]</f>
        <v>1369</v>
      </c>
      <c r="H138" s="11">
        <f ca="1">staff[[#This Row],[tenure]]/365</f>
        <v>3.7506849315068491</v>
      </c>
      <c r="I138" s="24">
        <v>99750</v>
      </c>
      <c r="J138" s="5" t="s">
        <v>16</v>
      </c>
      <c r="K138" s="5" t="s">
        <v>207</v>
      </c>
      <c r="L138" s="24">
        <f ca="1">ROUNDUP(IF(staff[[#This Row],[tenure in year]]&gt;2,3%,2%)*staff[[#This Row],[Salary]],0)</f>
        <v>2993</v>
      </c>
      <c r="M138" s="5">
        <f>_xlfn.XLOOKUP(staff[[#This Row],[Rating]],Sheet6!$B$3:$B$7,Sheet6!$C$3:$C$7)</f>
        <v>3</v>
      </c>
    </row>
    <row r="139" spans="1:13">
      <c r="A139" s="5" t="s">
        <v>107</v>
      </c>
      <c r="B139" s="5" t="s">
        <v>8</v>
      </c>
      <c r="C139" s="5" t="s">
        <v>9</v>
      </c>
      <c r="D139" s="5">
        <v>28</v>
      </c>
      <c r="E139" s="10">
        <v>44630</v>
      </c>
      <c r="F139" s="10">
        <f t="shared" ca="1" si="4"/>
        <v>45573</v>
      </c>
      <c r="G139" s="5">
        <f ca="1">staff[[#This Row],[current date]]-staff[[#This Row],[Date Joined]]</f>
        <v>943</v>
      </c>
      <c r="H139" s="11">
        <f ca="1">staff[[#This Row],[tenure]]/365</f>
        <v>2.5835616438356164</v>
      </c>
      <c r="I139" s="24">
        <v>99970</v>
      </c>
      <c r="J139" s="5" t="s">
        <v>16</v>
      </c>
      <c r="K139" s="5" t="s">
        <v>205</v>
      </c>
      <c r="L139" s="24">
        <f ca="1">ROUNDUP(IF(staff[[#This Row],[tenure in year]]&gt;2,3%,2%)*staff[[#This Row],[Salary]],0)</f>
        <v>3000</v>
      </c>
      <c r="M139" s="5">
        <f>_xlfn.XLOOKUP(staff[[#This Row],[Rating]],Sheet6!$B$3:$B$7,Sheet6!$C$3:$C$7)</f>
        <v>3</v>
      </c>
    </row>
    <row r="140" spans="1:13">
      <c r="A140" s="5" t="s">
        <v>200</v>
      </c>
      <c r="B140" s="5" t="s">
        <v>8</v>
      </c>
      <c r="C140" s="5" t="s">
        <v>9</v>
      </c>
      <c r="D140" s="5">
        <v>28</v>
      </c>
      <c r="E140" s="10">
        <v>44571</v>
      </c>
      <c r="F140" s="10">
        <f t="shared" ca="1" si="4"/>
        <v>45573</v>
      </c>
      <c r="G140" s="5">
        <f ca="1">staff[[#This Row],[current date]]-staff[[#This Row],[Date Joined]]</f>
        <v>1002</v>
      </c>
      <c r="H140" s="11">
        <f ca="1">staff[[#This Row],[tenure]]/365</f>
        <v>2.7452054794520548</v>
      </c>
      <c r="I140" s="24">
        <v>99970</v>
      </c>
      <c r="J140" s="5" t="s">
        <v>16</v>
      </c>
      <c r="K140" s="5" t="s">
        <v>207</v>
      </c>
      <c r="L140" s="24">
        <f ca="1">ROUNDUP(IF(staff[[#This Row],[tenure in year]]&gt;2,3%,2%)*staff[[#This Row],[Salary]],0)</f>
        <v>3000</v>
      </c>
      <c r="M140" s="5">
        <f>_xlfn.XLOOKUP(staff[[#This Row],[Rating]],Sheet6!$B$3:$B$7,Sheet6!$C$3:$C$7)</f>
        <v>3</v>
      </c>
    </row>
    <row r="141" spans="1:13">
      <c r="A141" s="5" t="s">
        <v>103</v>
      </c>
      <c r="B141" s="5" t="s">
        <v>15</v>
      </c>
      <c r="C141" s="5" t="s">
        <v>12</v>
      </c>
      <c r="D141" s="5">
        <v>24</v>
      </c>
      <c r="E141" s="10">
        <v>44686</v>
      </c>
      <c r="F141" s="10">
        <f t="shared" ca="1" si="4"/>
        <v>45573</v>
      </c>
      <c r="G141" s="5">
        <f ca="1">staff[[#This Row],[current date]]-staff[[#This Row],[Date Joined]]</f>
        <v>887</v>
      </c>
      <c r="H141" s="11">
        <f ca="1">staff[[#This Row],[tenure]]/365</f>
        <v>2.43013698630137</v>
      </c>
      <c r="I141" s="24">
        <v>100420</v>
      </c>
      <c r="J141" s="5" t="s">
        <v>16</v>
      </c>
      <c r="K141" s="5" t="s">
        <v>205</v>
      </c>
      <c r="L141" s="24">
        <f ca="1">ROUNDUP(IF(staff[[#This Row],[tenure in year]]&gt;2,3%,2%)*staff[[#This Row],[Salary]],0)</f>
        <v>3013</v>
      </c>
      <c r="M141" s="5">
        <f>_xlfn.XLOOKUP(staff[[#This Row],[Rating]],Sheet6!$B$3:$B$7,Sheet6!$C$3:$C$7)</f>
        <v>3</v>
      </c>
    </row>
    <row r="142" spans="1:13">
      <c r="A142" s="5" t="s">
        <v>196</v>
      </c>
      <c r="B142" s="5" t="s">
        <v>15</v>
      </c>
      <c r="C142" s="5" t="s">
        <v>12</v>
      </c>
      <c r="D142" s="5">
        <v>24</v>
      </c>
      <c r="E142" s="10">
        <v>44625</v>
      </c>
      <c r="F142" s="10">
        <f t="shared" ca="1" si="4"/>
        <v>45573</v>
      </c>
      <c r="G142" s="5">
        <f ca="1">staff[[#This Row],[current date]]-staff[[#This Row],[Date Joined]]</f>
        <v>948</v>
      </c>
      <c r="H142" s="11">
        <f ca="1">staff[[#This Row],[tenure]]/365</f>
        <v>2.5972602739726027</v>
      </c>
      <c r="I142" s="24">
        <v>100420</v>
      </c>
      <c r="J142" s="5" t="s">
        <v>16</v>
      </c>
      <c r="K142" s="5" t="s">
        <v>207</v>
      </c>
      <c r="L142" s="24">
        <f ca="1">ROUNDUP(IF(staff[[#This Row],[tenure in year]]&gt;2,3%,2%)*staff[[#This Row],[Salary]],0)</f>
        <v>3013</v>
      </c>
      <c r="M142" s="5">
        <f>_xlfn.XLOOKUP(staff[[#This Row],[Rating]],Sheet6!$B$3:$B$7,Sheet6!$C$3:$C$7)</f>
        <v>3</v>
      </c>
    </row>
    <row r="143" spans="1:13">
      <c r="A143" s="5" t="s">
        <v>50</v>
      </c>
      <c r="B143" s="5" t="s">
        <v>15</v>
      </c>
      <c r="C143" s="5" t="s">
        <v>9</v>
      </c>
      <c r="D143" s="5">
        <v>31</v>
      </c>
      <c r="E143" s="10">
        <v>44724</v>
      </c>
      <c r="F143" s="10">
        <f t="shared" ca="1" si="4"/>
        <v>45573</v>
      </c>
      <c r="G143" s="5">
        <f ca="1">staff[[#This Row],[current date]]-staff[[#This Row],[Date Joined]]</f>
        <v>849</v>
      </c>
      <c r="H143" s="11">
        <f ca="1">staff[[#This Row],[tenure]]/365</f>
        <v>2.3260273972602739</v>
      </c>
      <c r="I143" s="24">
        <v>103550</v>
      </c>
      <c r="J143" s="5" t="s">
        <v>16</v>
      </c>
      <c r="K143" s="5" t="s">
        <v>205</v>
      </c>
      <c r="L143" s="24">
        <f ca="1">ROUNDUP(IF(staff[[#This Row],[tenure in year]]&gt;2,3%,2%)*staff[[#This Row],[Salary]],0)</f>
        <v>3107</v>
      </c>
      <c r="M143" s="5">
        <f>_xlfn.XLOOKUP(staff[[#This Row],[Rating]],Sheet6!$B$3:$B$7,Sheet6!$C$3:$C$7)</f>
        <v>3</v>
      </c>
    </row>
    <row r="144" spans="1:13">
      <c r="A144" s="5" t="s">
        <v>143</v>
      </c>
      <c r="B144" s="5" t="s">
        <v>15</v>
      </c>
      <c r="C144" s="5" t="s">
        <v>9</v>
      </c>
      <c r="D144" s="5">
        <v>31</v>
      </c>
      <c r="E144" s="10">
        <v>44663</v>
      </c>
      <c r="F144" s="10">
        <f t="shared" ca="1" si="4"/>
        <v>45573</v>
      </c>
      <c r="G144" s="5">
        <f ca="1">staff[[#This Row],[current date]]-staff[[#This Row],[Date Joined]]</f>
        <v>910</v>
      </c>
      <c r="H144" s="11">
        <f ca="1">staff[[#This Row],[tenure]]/365</f>
        <v>2.493150684931507</v>
      </c>
      <c r="I144" s="24">
        <v>103550</v>
      </c>
      <c r="J144" s="5" t="s">
        <v>16</v>
      </c>
      <c r="K144" s="5" t="s">
        <v>207</v>
      </c>
      <c r="L144" s="24">
        <f ca="1">ROUNDUP(IF(staff[[#This Row],[tenure in year]]&gt;2,3%,2%)*staff[[#This Row],[Salary]],0)</f>
        <v>3107</v>
      </c>
      <c r="M144" s="5">
        <f>_xlfn.XLOOKUP(staff[[#This Row],[Rating]],Sheet6!$B$3:$B$7,Sheet6!$C$3:$C$7)</f>
        <v>3</v>
      </c>
    </row>
    <row r="145" spans="1:13">
      <c r="A145" s="5" t="s">
        <v>96</v>
      </c>
      <c r="B145" s="5" t="s">
        <v>8</v>
      </c>
      <c r="C145" s="5" t="s">
        <v>9</v>
      </c>
      <c r="D145" s="5">
        <v>28</v>
      </c>
      <c r="E145" s="10">
        <v>44649</v>
      </c>
      <c r="F145" s="10">
        <f t="shared" ca="1" si="4"/>
        <v>45573</v>
      </c>
      <c r="G145" s="5">
        <f ca="1">staff[[#This Row],[current date]]-staff[[#This Row],[Date Joined]]</f>
        <v>924</v>
      </c>
      <c r="H145" s="11">
        <f ca="1">staff[[#This Row],[tenure]]/365</f>
        <v>2.5315068493150683</v>
      </c>
      <c r="I145" s="24">
        <v>104120</v>
      </c>
      <c r="J145" s="5" t="s">
        <v>16</v>
      </c>
      <c r="K145" s="5" t="s">
        <v>205</v>
      </c>
      <c r="L145" s="24">
        <f ca="1">ROUNDUP(IF(staff[[#This Row],[tenure in year]]&gt;2,3%,2%)*staff[[#This Row],[Salary]],0)</f>
        <v>3124</v>
      </c>
      <c r="M145" s="5">
        <f>_xlfn.XLOOKUP(staff[[#This Row],[Rating]],Sheet6!$B$3:$B$7,Sheet6!$C$3:$C$7)</f>
        <v>3</v>
      </c>
    </row>
    <row r="146" spans="1:13">
      <c r="A146" s="5" t="s">
        <v>189</v>
      </c>
      <c r="B146" s="5" t="s">
        <v>8</v>
      </c>
      <c r="C146" s="5" t="s">
        <v>9</v>
      </c>
      <c r="D146" s="5">
        <v>28</v>
      </c>
      <c r="E146" s="10">
        <v>44590</v>
      </c>
      <c r="F146" s="10">
        <f t="shared" ca="1" si="4"/>
        <v>45573</v>
      </c>
      <c r="G146" s="5">
        <f ca="1">staff[[#This Row],[current date]]-staff[[#This Row],[Date Joined]]</f>
        <v>983</v>
      </c>
      <c r="H146" s="11">
        <f ca="1">staff[[#This Row],[tenure]]/365</f>
        <v>2.6931506849315068</v>
      </c>
      <c r="I146" s="24">
        <v>104120</v>
      </c>
      <c r="J146" s="5" t="s">
        <v>16</v>
      </c>
      <c r="K146" s="5" t="s">
        <v>207</v>
      </c>
      <c r="L146" s="24">
        <f ca="1">ROUNDUP(IF(staff[[#This Row],[tenure in year]]&gt;2,3%,2%)*staff[[#This Row],[Salary]],0)</f>
        <v>3124</v>
      </c>
      <c r="M146" s="5">
        <f>_xlfn.XLOOKUP(staff[[#This Row],[Rating]],Sheet6!$B$3:$B$7,Sheet6!$C$3:$C$7)</f>
        <v>3</v>
      </c>
    </row>
    <row r="147" spans="1:13">
      <c r="A147" s="5" t="s">
        <v>101</v>
      </c>
      <c r="B147" s="5" t="s">
        <v>8</v>
      </c>
      <c r="C147" s="5" t="s">
        <v>12</v>
      </c>
      <c r="D147" s="5">
        <v>40</v>
      </c>
      <c r="E147" s="10">
        <v>44381</v>
      </c>
      <c r="F147" s="10">
        <f t="shared" ca="1" si="4"/>
        <v>45573</v>
      </c>
      <c r="G147" s="5">
        <f ca="1">staff[[#This Row],[current date]]-staff[[#This Row],[Date Joined]]</f>
        <v>1192</v>
      </c>
      <c r="H147" s="11">
        <f ca="1">staff[[#This Row],[tenure]]/365</f>
        <v>3.2657534246575342</v>
      </c>
      <c r="I147" s="24">
        <v>104410</v>
      </c>
      <c r="J147" s="5" t="s">
        <v>16</v>
      </c>
      <c r="K147" s="5" t="s">
        <v>205</v>
      </c>
      <c r="L147" s="24">
        <f ca="1">ROUNDUP(IF(staff[[#This Row],[tenure in year]]&gt;2,3%,2%)*staff[[#This Row],[Salary]],0)</f>
        <v>3133</v>
      </c>
      <c r="M147" s="5">
        <f>_xlfn.XLOOKUP(staff[[#This Row],[Rating]],Sheet6!$B$3:$B$7,Sheet6!$C$3:$C$7)</f>
        <v>3</v>
      </c>
    </row>
    <row r="148" spans="1:13">
      <c r="A148" s="5" t="s">
        <v>194</v>
      </c>
      <c r="B148" s="5" t="s">
        <v>8</v>
      </c>
      <c r="C148" s="5" t="s">
        <v>12</v>
      </c>
      <c r="D148" s="5">
        <v>40</v>
      </c>
      <c r="E148" s="10">
        <v>44320</v>
      </c>
      <c r="F148" s="10">
        <f t="shared" ca="1" si="4"/>
        <v>45573</v>
      </c>
      <c r="G148" s="5">
        <f ca="1">staff[[#This Row],[current date]]-staff[[#This Row],[Date Joined]]</f>
        <v>1253</v>
      </c>
      <c r="H148" s="11">
        <f ca="1">staff[[#This Row],[tenure]]/365</f>
        <v>3.4328767123287673</v>
      </c>
      <c r="I148" s="24">
        <v>104410</v>
      </c>
      <c r="J148" s="5" t="s">
        <v>16</v>
      </c>
      <c r="K148" s="5" t="s">
        <v>207</v>
      </c>
      <c r="L148" s="24">
        <f ca="1">ROUNDUP(IF(staff[[#This Row],[tenure in year]]&gt;2,3%,2%)*staff[[#This Row],[Salary]],0)</f>
        <v>3133</v>
      </c>
      <c r="M148" s="5">
        <f>_xlfn.XLOOKUP(staff[[#This Row],[Rating]],Sheet6!$B$3:$B$7,Sheet6!$C$3:$C$7)</f>
        <v>3</v>
      </c>
    </row>
    <row r="149" spans="1:13">
      <c r="A149" s="5" t="s">
        <v>43</v>
      </c>
      <c r="B149" s="5" t="s">
        <v>8</v>
      </c>
      <c r="C149" s="5" t="s">
        <v>9</v>
      </c>
      <c r="D149" s="5">
        <v>28</v>
      </c>
      <c r="E149" s="10">
        <v>44486</v>
      </c>
      <c r="F149" s="10">
        <f t="shared" ca="1" si="4"/>
        <v>45573</v>
      </c>
      <c r="G149" s="5">
        <f ca="1">staff[[#This Row],[current date]]-staff[[#This Row],[Date Joined]]</f>
        <v>1087</v>
      </c>
      <c r="H149" s="11">
        <f ca="1">staff[[#This Row],[tenure]]/365</f>
        <v>2.978082191780822</v>
      </c>
      <c r="I149" s="24">
        <v>104770</v>
      </c>
      <c r="J149" s="5" t="s">
        <v>16</v>
      </c>
      <c r="K149" s="5" t="s">
        <v>205</v>
      </c>
      <c r="L149" s="24">
        <f ca="1">ROUNDUP(IF(staff[[#This Row],[tenure in year]]&gt;2,3%,2%)*staff[[#This Row],[Salary]],0)</f>
        <v>3144</v>
      </c>
      <c r="M149" s="5">
        <f>_xlfn.XLOOKUP(staff[[#This Row],[Rating]],Sheet6!$B$3:$B$7,Sheet6!$C$3:$C$7)</f>
        <v>3</v>
      </c>
    </row>
    <row r="150" spans="1:13">
      <c r="A150" s="5" t="s">
        <v>136</v>
      </c>
      <c r="B150" s="5" t="s">
        <v>8</v>
      </c>
      <c r="C150" s="5" t="s">
        <v>9</v>
      </c>
      <c r="D150" s="5">
        <v>28</v>
      </c>
      <c r="E150" s="10">
        <v>44425</v>
      </c>
      <c r="F150" s="10">
        <f t="shared" ca="1" si="4"/>
        <v>45573</v>
      </c>
      <c r="G150" s="5">
        <f ca="1">staff[[#This Row],[current date]]-staff[[#This Row],[Date Joined]]</f>
        <v>1148</v>
      </c>
      <c r="H150" s="11">
        <f ca="1">staff[[#This Row],[tenure]]/365</f>
        <v>3.1452054794520548</v>
      </c>
      <c r="I150" s="24">
        <v>104770</v>
      </c>
      <c r="J150" s="5" t="s">
        <v>16</v>
      </c>
      <c r="K150" s="5" t="s">
        <v>207</v>
      </c>
      <c r="L150" s="24">
        <f ca="1">ROUNDUP(IF(staff[[#This Row],[tenure in year]]&gt;2,3%,2%)*staff[[#This Row],[Salary]],0)</f>
        <v>3144</v>
      </c>
      <c r="M150" s="5">
        <f>_xlfn.XLOOKUP(staff[[#This Row],[Rating]],Sheet6!$B$3:$B$7,Sheet6!$C$3:$C$7)</f>
        <v>3</v>
      </c>
    </row>
    <row r="151" spans="1:13">
      <c r="A151" s="5" t="s">
        <v>69</v>
      </c>
      <c r="B151" s="5" t="s">
        <v>15</v>
      </c>
      <c r="C151" s="5" t="s">
        <v>9</v>
      </c>
      <c r="D151" s="5">
        <v>23</v>
      </c>
      <c r="E151" s="10">
        <v>44440</v>
      </c>
      <c r="F151" s="10">
        <f t="shared" ca="1" si="4"/>
        <v>45573</v>
      </c>
      <c r="G151" s="5">
        <f ca="1">staff[[#This Row],[current date]]-staff[[#This Row],[Date Joined]]</f>
        <v>1133</v>
      </c>
      <c r="H151" s="11">
        <f ca="1">staff[[#This Row],[tenure]]/365</f>
        <v>3.1041095890410957</v>
      </c>
      <c r="I151" s="24">
        <v>106460</v>
      </c>
      <c r="J151" s="5" t="s">
        <v>16</v>
      </c>
      <c r="K151" s="5" t="s">
        <v>205</v>
      </c>
      <c r="L151" s="24">
        <f ca="1">ROUNDUP(IF(staff[[#This Row],[tenure in year]]&gt;2,3%,2%)*staff[[#This Row],[Salary]],0)</f>
        <v>3194</v>
      </c>
      <c r="M151" s="5">
        <f>_xlfn.XLOOKUP(staff[[#This Row],[Rating]],Sheet6!$B$3:$B$7,Sheet6!$C$3:$C$7)</f>
        <v>3</v>
      </c>
    </row>
    <row r="152" spans="1:13">
      <c r="A152" s="5" t="s">
        <v>161</v>
      </c>
      <c r="B152" s="5" t="s">
        <v>15</v>
      </c>
      <c r="C152" s="5" t="s">
        <v>9</v>
      </c>
      <c r="D152" s="5">
        <v>23</v>
      </c>
      <c r="E152" s="10">
        <v>44378</v>
      </c>
      <c r="F152" s="10">
        <f t="shared" ca="1" si="4"/>
        <v>45573</v>
      </c>
      <c r="G152" s="5">
        <f ca="1">staff[[#This Row],[current date]]-staff[[#This Row],[Date Joined]]</f>
        <v>1195</v>
      </c>
      <c r="H152" s="11">
        <f ca="1">staff[[#This Row],[tenure]]/365</f>
        <v>3.2739726027397262</v>
      </c>
      <c r="I152" s="24">
        <v>106460</v>
      </c>
      <c r="J152" s="5" t="s">
        <v>16</v>
      </c>
      <c r="K152" s="5" t="s">
        <v>207</v>
      </c>
      <c r="L152" s="24">
        <f ca="1">ROUNDUP(IF(staff[[#This Row],[tenure in year]]&gt;2,3%,2%)*staff[[#This Row],[Salary]],0)</f>
        <v>3194</v>
      </c>
      <c r="M152" s="5">
        <f>_xlfn.XLOOKUP(staff[[#This Row],[Rating]],Sheet6!$B$3:$B$7,Sheet6!$C$3:$C$7)</f>
        <v>3</v>
      </c>
    </row>
    <row r="153" spans="1:13">
      <c r="A153" s="5" t="s">
        <v>22</v>
      </c>
      <c r="B153" s="5" t="s">
        <v>15</v>
      </c>
      <c r="C153" s="5" t="s">
        <v>12</v>
      </c>
      <c r="D153" s="5">
        <v>20</v>
      </c>
      <c r="E153" s="10">
        <v>44459</v>
      </c>
      <c r="F153" s="10">
        <f t="shared" ca="1" si="4"/>
        <v>45573</v>
      </c>
      <c r="G153" s="5">
        <f ca="1">staff[[#This Row],[current date]]-staff[[#This Row],[Date Joined]]</f>
        <v>1114</v>
      </c>
      <c r="H153" s="11">
        <f ca="1">staff[[#This Row],[tenure]]/365</f>
        <v>3.0520547945205481</v>
      </c>
      <c r="I153" s="24">
        <v>107700</v>
      </c>
      <c r="J153" s="5" t="s">
        <v>16</v>
      </c>
      <c r="K153" s="5" t="s">
        <v>205</v>
      </c>
      <c r="L153" s="24">
        <f ca="1">ROUNDUP(IF(staff[[#This Row],[tenure in year]]&gt;2,3%,2%)*staff[[#This Row],[Salary]],0)</f>
        <v>3231</v>
      </c>
      <c r="M153" s="5">
        <f>_xlfn.XLOOKUP(staff[[#This Row],[Rating]],Sheet6!$B$3:$B$7,Sheet6!$C$3:$C$7)</f>
        <v>3</v>
      </c>
    </row>
    <row r="154" spans="1:13">
      <c r="A154" s="5" t="s">
        <v>117</v>
      </c>
      <c r="B154" s="5" t="s">
        <v>15</v>
      </c>
      <c r="C154" s="5" t="s">
        <v>12</v>
      </c>
      <c r="D154" s="5">
        <v>20</v>
      </c>
      <c r="E154" s="10">
        <v>44397</v>
      </c>
      <c r="F154" s="10">
        <f t="shared" ca="1" si="4"/>
        <v>45573</v>
      </c>
      <c r="G154" s="5">
        <f ca="1">staff[[#This Row],[current date]]-staff[[#This Row],[Date Joined]]</f>
        <v>1176</v>
      </c>
      <c r="H154" s="11">
        <f ca="1">staff[[#This Row],[tenure]]/365</f>
        <v>3.2219178082191782</v>
      </c>
      <c r="I154" s="24">
        <v>107700</v>
      </c>
      <c r="J154" s="5" t="s">
        <v>16</v>
      </c>
      <c r="K154" s="5" t="s">
        <v>207</v>
      </c>
      <c r="L154" s="24">
        <f ca="1">ROUNDUP(IF(staff[[#This Row],[tenure in year]]&gt;2,3%,2%)*staff[[#This Row],[Salary]],0)</f>
        <v>3231</v>
      </c>
      <c r="M154" s="5">
        <f>_xlfn.XLOOKUP(staff[[#This Row],[Rating]],Sheet6!$B$3:$B$7,Sheet6!$C$3:$C$7)</f>
        <v>3</v>
      </c>
    </row>
    <row r="155" spans="1:13">
      <c r="A155" s="5" t="s">
        <v>33</v>
      </c>
      <c r="B155" s="5" t="s">
        <v>8</v>
      </c>
      <c r="C155" s="5" t="s">
        <v>19</v>
      </c>
      <c r="D155" s="5">
        <v>38</v>
      </c>
      <c r="E155" s="10">
        <v>44377</v>
      </c>
      <c r="F155" s="10">
        <f t="shared" ca="1" si="4"/>
        <v>45573</v>
      </c>
      <c r="G155" s="5">
        <f ca="1">staff[[#This Row],[current date]]-staff[[#This Row],[Date Joined]]</f>
        <v>1196</v>
      </c>
      <c r="H155" s="11">
        <f ca="1">staff[[#This Row],[tenure]]/365</f>
        <v>3.2767123287671232</v>
      </c>
      <c r="I155" s="24">
        <v>109160</v>
      </c>
      <c r="J155" s="5" t="s">
        <v>10</v>
      </c>
      <c r="K155" s="5" t="s">
        <v>205</v>
      </c>
      <c r="L155" s="24">
        <f ca="1">ROUNDUP(IF(staff[[#This Row],[tenure in year]]&gt;2,3%,2%)*staff[[#This Row],[Salary]],0)</f>
        <v>3275</v>
      </c>
      <c r="M155" s="5" t="e">
        <f>_xlfn.XLOOKUP(staff[[#This Row],[Rating]],Sheet6!$B$3:$B$7,Sheet6!$C$3:$C$7)</f>
        <v>#N/A</v>
      </c>
    </row>
    <row r="156" spans="1:13">
      <c r="A156" s="5" t="s">
        <v>127</v>
      </c>
      <c r="B156" s="5" t="s">
        <v>8</v>
      </c>
      <c r="C156" s="5" t="s">
        <v>19</v>
      </c>
      <c r="D156" s="5">
        <v>38</v>
      </c>
      <c r="E156" s="10">
        <v>44316</v>
      </c>
      <c r="F156" s="10">
        <f t="shared" ca="1" si="4"/>
        <v>45573</v>
      </c>
      <c r="G156" s="5">
        <f ca="1">staff[[#This Row],[current date]]-staff[[#This Row],[Date Joined]]</f>
        <v>1257</v>
      </c>
      <c r="H156" s="11">
        <f ca="1">staff[[#This Row],[tenure]]/365</f>
        <v>3.4438356164383563</v>
      </c>
      <c r="I156" s="24">
        <v>109160</v>
      </c>
      <c r="J156" s="5" t="s">
        <v>10</v>
      </c>
      <c r="K156" s="5" t="s">
        <v>207</v>
      </c>
      <c r="L156" s="24">
        <f ca="1">ROUNDUP(IF(staff[[#This Row],[tenure in year]]&gt;2,3%,2%)*staff[[#This Row],[Salary]],0)</f>
        <v>3275</v>
      </c>
      <c r="M156" s="5" t="e">
        <f>_xlfn.XLOOKUP(staff[[#This Row],[Rating]],Sheet6!$B$3:$B$7,Sheet6!$C$3:$C$7)</f>
        <v>#N/A</v>
      </c>
    </row>
    <row r="157" spans="1:13">
      <c r="A157" s="5" t="s">
        <v>34</v>
      </c>
      <c r="B157" s="5" t="s">
        <v>15</v>
      </c>
      <c r="C157" s="5" t="s">
        <v>9</v>
      </c>
      <c r="D157" s="5">
        <v>25</v>
      </c>
      <c r="E157" s="10">
        <v>44726</v>
      </c>
      <c r="F157" s="10">
        <f t="shared" ca="1" si="4"/>
        <v>45573</v>
      </c>
      <c r="G157" s="5">
        <f ca="1">staff[[#This Row],[current date]]-staff[[#This Row],[Date Joined]]</f>
        <v>847</v>
      </c>
      <c r="H157" s="11">
        <f ca="1">staff[[#This Row],[tenure]]/365</f>
        <v>2.3205479452054796</v>
      </c>
      <c r="I157" s="24">
        <v>109190</v>
      </c>
      <c r="J157" s="5" t="s">
        <v>13</v>
      </c>
      <c r="K157" s="5" t="s">
        <v>205</v>
      </c>
      <c r="L157" s="24">
        <f ca="1">ROUNDUP(IF(staff[[#This Row],[tenure in year]]&gt;2,3%,2%)*staff[[#This Row],[Salary]],0)</f>
        <v>3276</v>
      </c>
      <c r="M157" s="5">
        <f>_xlfn.XLOOKUP(staff[[#This Row],[Rating]],Sheet6!$B$3:$B$7,Sheet6!$C$3:$C$7)</f>
        <v>4</v>
      </c>
    </row>
    <row r="158" spans="1:13">
      <c r="A158" s="5" t="s">
        <v>128</v>
      </c>
      <c r="B158" s="5" t="s">
        <v>15</v>
      </c>
      <c r="C158" s="5" t="s">
        <v>9</v>
      </c>
      <c r="D158" s="5">
        <v>25</v>
      </c>
      <c r="E158" s="10">
        <v>44665</v>
      </c>
      <c r="F158" s="10">
        <f t="shared" ca="1" si="4"/>
        <v>45573</v>
      </c>
      <c r="G158" s="5">
        <f ca="1">staff[[#This Row],[current date]]-staff[[#This Row],[Date Joined]]</f>
        <v>908</v>
      </c>
      <c r="H158" s="11">
        <f ca="1">staff[[#This Row],[tenure]]/365</f>
        <v>2.4876712328767123</v>
      </c>
      <c r="I158" s="24">
        <v>109190</v>
      </c>
      <c r="J158" s="5" t="s">
        <v>13</v>
      </c>
      <c r="K158" s="5" t="s">
        <v>207</v>
      </c>
      <c r="L158" s="24">
        <f ca="1">ROUNDUP(IF(staff[[#This Row],[tenure in year]]&gt;2,3%,2%)*staff[[#This Row],[Salary]],0)</f>
        <v>3276</v>
      </c>
      <c r="M158" s="5">
        <f>_xlfn.XLOOKUP(staff[[#This Row],[Rating]],Sheet6!$B$3:$B$7,Sheet6!$C$3:$C$7)</f>
        <v>4</v>
      </c>
    </row>
    <row r="159" spans="1:13">
      <c r="A159" s="5" t="s">
        <v>87</v>
      </c>
      <c r="B159" s="5" t="s">
        <v>15</v>
      </c>
      <c r="C159" s="5" t="s">
        <v>12</v>
      </c>
      <c r="D159" s="5">
        <v>29</v>
      </c>
      <c r="E159" s="10">
        <v>44180</v>
      </c>
      <c r="F159" s="10">
        <f t="shared" ca="1" si="4"/>
        <v>45573</v>
      </c>
      <c r="G159" s="5">
        <f ca="1">staff[[#This Row],[current date]]-staff[[#This Row],[Date Joined]]</f>
        <v>1393</v>
      </c>
      <c r="H159" s="11">
        <f ca="1">staff[[#This Row],[tenure]]/365</f>
        <v>3.8164383561643835</v>
      </c>
      <c r="I159" s="24">
        <v>112110</v>
      </c>
      <c r="J159" s="5" t="s">
        <v>24</v>
      </c>
      <c r="K159" s="5" t="s">
        <v>205</v>
      </c>
      <c r="L159" s="24">
        <f ca="1">ROUNDUP(IF(staff[[#This Row],[tenure in year]]&gt;2,3%,2%)*staff[[#This Row],[Salary]],0)</f>
        <v>3364</v>
      </c>
      <c r="M159" s="5">
        <f>_xlfn.XLOOKUP(staff[[#This Row],[Rating]],Sheet6!$B$3:$B$7,Sheet6!$C$3:$C$7)</f>
        <v>2</v>
      </c>
    </row>
    <row r="160" spans="1:13">
      <c r="A160" s="5" t="s">
        <v>180</v>
      </c>
      <c r="B160" s="5" t="s">
        <v>15</v>
      </c>
      <c r="C160" s="5" t="s">
        <v>12</v>
      </c>
      <c r="D160" s="5">
        <v>29</v>
      </c>
      <c r="E160" s="10">
        <v>44119</v>
      </c>
      <c r="F160" s="10">
        <f t="shared" ca="1" si="4"/>
        <v>45573</v>
      </c>
      <c r="G160" s="5">
        <f ca="1">staff[[#This Row],[current date]]-staff[[#This Row],[Date Joined]]</f>
        <v>1454</v>
      </c>
      <c r="H160" s="11">
        <f ca="1">staff[[#This Row],[tenure]]/365</f>
        <v>3.9835616438356163</v>
      </c>
      <c r="I160" s="24">
        <v>112110</v>
      </c>
      <c r="J160" s="5" t="s">
        <v>24</v>
      </c>
      <c r="K160" s="5" t="s">
        <v>207</v>
      </c>
      <c r="L160" s="24">
        <f ca="1">ROUNDUP(IF(staff[[#This Row],[tenure in year]]&gt;2,3%,2%)*staff[[#This Row],[Salary]],0)</f>
        <v>3364</v>
      </c>
      <c r="M160" s="5">
        <f>_xlfn.XLOOKUP(staff[[#This Row],[Rating]],Sheet6!$B$3:$B$7,Sheet6!$C$3:$C$7)</f>
        <v>2</v>
      </c>
    </row>
    <row r="161" spans="1:13">
      <c r="A161" s="5" t="s">
        <v>81</v>
      </c>
      <c r="B161" s="5" t="s">
        <v>8</v>
      </c>
      <c r="C161" s="5" t="s">
        <v>9</v>
      </c>
      <c r="D161" s="5">
        <v>30</v>
      </c>
      <c r="E161" s="10">
        <v>44861</v>
      </c>
      <c r="F161" s="10">
        <f t="shared" ca="1" si="4"/>
        <v>45573</v>
      </c>
      <c r="G161" s="5">
        <f ca="1">staff[[#This Row],[current date]]-staff[[#This Row],[Date Joined]]</f>
        <v>712</v>
      </c>
      <c r="H161" s="11">
        <f ca="1">staff[[#This Row],[tenure]]/365</f>
        <v>1.9506849315068493</v>
      </c>
      <c r="I161" s="24">
        <v>112570</v>
      </c>
      <c r="J161" s="5" t="s">
        <v>16</v>
      </c>
      <c r="K161" s="5" t="s">
        <v>205</v>
      </c>
      <c r="L161" s="24">
        <f ca="1">ROUNDUP(IF(staff[[#This Row],[tenure in year]]&gt;2,3%,2%)*staff[[#This Row],[Salary]],0)</f>
        <v>2252</v>
      </c>
      <c r="M161" s="5">
        <f>_xlfn.XLOOKUP(staff[[#This Row],[Rating]],Sheet6!$B$3:$B$7,Sheet6!$C$3:$C$7)</f>
        <v>3</v>
      </c>
    </row>
    <row r="162" spans="1:13">
      <c r="A162" s="5" t="s">
        <v>173</v>
      </c>
      <c r="B162" s="5" t="s">
        <v>8</v>
      </c>
      <c r="C162" s="5" t="s">
        <v>9</v>
      </c>
      <c r="D162" s="5">
        <v>30</v>
      </c>
      <c r="E162" s="10">
        <v>44800</v>
      </c>
      <c r="F162" s="10">
        <f t="shared" ref="F162:F186" ca="1" si="5">TODAY()</f>
        <v>45573</v>
      </c>
      <c r="G162" s="5">
        <f ca="1">staff[[#This Row],[current date]]-staff[[#This Row],[Date Joined]]</f>
        <v>773</v>
      </c>
      <c r="H162" s="11">
        <f ca="1">staff[[#This Row],[tenure]]/365</f>
        <v>2.117808219178082</v>
      </c>
      <c r="I162" s="24">
        <v>112570</v>
      </c>
      <c r="J162" s="5" t="s">
        <v>16</v>
      </c>
      <c r="K162" s="5" t="s">
        <v>207</v>
      </c>
      <c r="L162" s="24">
        <f ca="1">ROUNDUP(IF(staff[[#This Row],[tenure in year]]&gt;2,3%,2%)*staff[[#This Row],[Salary]],0)</f>
        <v>3378</v>
      </c>
      <c r="M162" s="5">
        <f>_xlfn.XLOOKUP(staff[[#This Row],[Rating]],Sheet6!$B$3:$B$7,Sheet6!$C$3:$C$7)</f>
        <v>3</v>
      </c>
    </row>
    <row r="163" spans="1:13">
      <c r="A163" s="5" t="s">
        <v>64</v>
      </c>
      <c r="B163" s="5" t="s">
        <v>15</v>
      </c>
      <c r="C163" s="5" t="s">
        <v>12</v>
      </c>
      <c r="D163" s="5">
        <v>20</v>
      </c>
      <c r="E163" s="10">
        <v>44183</v>
      </c>
      <c r="F163" s="10">
        <f t="shared" ca="1" si="5"/>
        <v>45573</v>
      </c>
      <c r="G163" s="5">
        <f ca="1">staff[[#This Row],[current date]]-staff[[#This Row],[Date Joined]]</f>
        <v>1390</v>
      </c>
      <c r="H163" s="11">
        <f ca="1">staff[[#This Row],[tenure]]/365</f>
        <v>3.8082191780821919</v>
      </c>
      <c r="I163" s="24">
        <v>112650</v>
      </c>
      <c r="J163" s="5" t="s">
        <v>16</v>
      </c>
      <c r="K163" s="5" t="s">
        <v>205</v>
      </c>
      <c r="L163" s="24">
        <f ca="1">ROUNDUP(IF(staff[[#This Row],[tenure in year]]&gt;2,3%,2%)*staff[[#This Row],[Salary]],0)</f>
        <v>3380</v>
      </c>
      <c r="M163" s="5">
        <f>_xlfn.XLOOKUP(staff[[#This Row],[Rating]],Sheet6!$B$3:$B$7,Sheet6!$C$3:$C$7)</f>
        <v>3</v>
      </c>
    </row>
    <row r="164" spans="1:13">
      <c r="A164" s="5" t="s">
        <v>64</v>
      </c>
      <c r="B164" s="5" t="s">
        <v>15</v>
      </c>
      <c r="C164" s="5" t="s">
        <v>9</v>
      </c>
      <c r="D164" s="5">
        <v>34</v>
      </c>
      <c r="E164" s="10">
        <v>44703</v>
      </c>
      <c r="F164" s="10">
        <f t="shared" ca="1" si="5"/>
        <v>45573</v>
      </c>
      <c r="G164" s="5">
        <f ca="1">staff[[#This Row],[current date]]-staff[[#This Row],[Date Joined]]</f>
        <v>870</v>
      </c>
      <c r="H164" s="11">
        <f ca="1">staff[[#This Row],[tenure]]/365</f>
        <v>2.3835616438356166</v>
      </c>
      <c r="I164" s="24">
        <v>112650</v>
      </c>
      <c r="J164" s="5" t="s">
        <v>16</v>
      </c>
      <c r="K164" s="5" t="s">
        <v>205</v>
      </c>
      <c r="L164" s="24">
        <f ca="1">ROUNDUP(IF(staff[[#This Row],[tenure in year]]&gt;2,3%,2%)*staff[[#This Row],[Salary]],0)</f>
        <v>3380</v>
      </c>
      <c r="M164" s="5">
        <f>_xlfn.XLOOKUP(staff[[#This Row],[Rating]],Sheet6!$B$3:$B$7,Sheet6!$C$3:$C$7)</f>
        <v>3</v>
      </c>
    </row>
    <row r="165" spans="1:13">
      <c r="A165" s="5" t="s">
        <v>156</v>
      </c>
      <c r="B165" s="5" t="s">
        <v>15</v>
      </c>
      <c r="C165" s="5" t="s">
        <v>12</v>
      </c>
      <c r="D165" s="5">
        <v>20</v>
      </c>
      <c r="E165" s="10">
        <v>44122</v>
      </c>
      <c r="F165" s="10">
        <f t="shared" ca="1" si="5"/>
        <v>45573</v>
      </c>
      <c r="G165" s="5">
        <f ca="1">staff[[#This Row],[current date]]-staff[[#This Row],[Date Joined]]</f>
        <v>1451</v>
      </c>
      <c r="H165" s="11">
        <f ca="1">staff[[#This Row],[tenure]]/365</f>
        <v>3.9753424657534246</v>
      </c>
      <c r="I165" s="24">
        <v>112650</v>
      </c>
      <c r="J165" s="5" t="s">
        <v>16</v>
      </c>
      <c r="K165" s="5" t="s">
        <v>207</v>
      </c>
      <c r="L165" s="24">
        <f ca="1">ROUNDUP(IF(staff[[#This Row],[tenure in year]]&gt;2,3%,2%)*staff[[#This Row],[Salary]],0)</f>
        <v>3380</v>
      </c>
      <c r="M165" s="5">
        <f>_xlfn.XLOOKUP(staff[[#This Row],[Rating]],Sheet6!$B$3:$B$7,Sheet6!$C$3:$C$7)</f>
        <v>3</v>
      </c>
    </row>
    <row r="166" spans="1:13">
      <c r="A166" s="5" t="s">
        <v>178</v>
      </c>
      <c r="B166" s="5" t="s">
        <v>15</v>
      </c>
      <c r="C166" s="5" t="s">
        <v>9</v>
      </c>
      <c r="D166" s="5">
        <v>34</v>
      </c>
      <c r="E166" s="10">
        <v>44642</v>
      </c>
      <c r="F166" s="10">
        <f t="shared" ca="1" si="5"/>
        <v>45573</v>
      </c>
      <c r="G166" s="5">
        <f ca="1">staff[[#This Row],[current date]]-staff[[#This Row],[Date Joined]]</f>
        <v>931</v>
      </c>
      <c r="H166" s="11">
        <f ca="1">staff[[#This Row],[tenure]]/365</f>
        <v>2.5506849315068494</v>
      </c>
      <c r="I166" s="24">
        <v>112650</v>
      </c>
      <c r="J166" s="5" t="s">
        <v>16</v>
      </c>
      <c r="K166" s="5" t="s">
        <v>207</v>
      </c>
      <c r="L166" s="24">
        <f ca="1">ROUNDUP(IF(staff[[#This Row],[tenure in year]]&gt;2,3%,2%)*staff[[#This Row],[Salary]],0)</f>
        <v>3380</v>
      </c>
      <c r="M166" s="5">
        <f>_xlfn.XLOOKUP(staff[[#This Row],[Rating]],Sheet6!$B$3:$B$7,Sheet6!$C$3:$C$7)</f>
        <v>3</v>
      </c>
    </row>
    <row r="167" spans="1:13">
      <c r="A167" s="5" t="s">
        <v>58</v>
      </c>
      <c r="B167" s="5" t="s">
        <v>15</v>
      </c>
      <c r="C167" s="5" t="s">
        <v>19</v>
      </c>
      <c r="D167" s="5">
        <v>22</v>
      </c>
      <c r="E167" s="10">
        <v>44446</v>
      </c>
      <c r="F167" s="10">
        <f t="shared" ca="1" si="5"/>
        <v>45573</v>
      </c>
      <c r="G167" s="5">
        <f ca="1">staff[[#This Row],[current date]]-staff[[#This Row],[Date Joined]]</f>
        <v>1127</v>
      </c>
      <c r="H167" s="11">
        <f ca="1">staff[[#This Row],[tenure]]/365</f>
        <v>3.0876712328767124</v>
      </c>
      <c r="I167" s="24">
        <v>112780</v>
      </c>
      <c r="J167" s="5" t="s">
        <v>13</v>
      </c>
      <c r="K167" s="5" t="s">
        <v>205</v>
      </c>
      <c r="L167" s="24">
        <f ca="1">ROUNDUP(IF(staff[[#This Row],[tenure in year]]&gt;2,3%,2%)*staff[[#This Row],[Salary]],0)</f>
        <v>3384</v>
      </c>
      <c r="M167" s="5">
        <f>_xlfn.XLOOKUP(staff[[#This Row],[Rating]],Sheet6!$B$3:$B$7,Sheet6!$C$3:$C$7)</f>
        <v>4</v>
      </c>
    </row>
    <row r="168" spans="1:13">
      <c r="A168" s="5" t="s">
        <v>150</v>
      </c>
      <c r="B168" s="5" t="s">
        <v>15</v>
      </c>
      <c r="C168" s="5" t="s">
        <v>19</v>
      </c>
      <c r="D168" s="5">
        <v>22</v>
      </c>
      <c r="E168" s="10">
        <v>44384</v>
      </c>
      <c r="F168" s="10">
        <f t="shared" ca="1" si="5"/>
        <v>45573</v>
      </c>
      <c r="G168" s="5">
        <f ca="1">staff[[#This Row],[current date]]-staff[[#This Row],[Date Joined]]</f>
        <v>1189</v>
      </c>
      <c r="H168" s="11">
        <f ca="1">staff[[#This Row],[tenure]]/365</f>
        <v>3.2575342465753425</v>
      </c>
      <c r="I168" s="24">
        <v>112780</v>
      </c>
      <c r="J168" s="5" t="s">
        <v>13</v>
      </c>
      <c r="K168" s="5" t="s">
        <v>207</v>
      </c>
      <c r="L168" s="24">
        <f ca="1">ROUNDUP(IF(staff[[#This Row],[tenure in year]]&gt;2,3%,2%)*staff[[#This Row],[Salary]],0)</f>
        <v>3384</v>
      </c>
      <c r="M168" s="5">
        <f>_xlfn.XLOOKUP(staff[[#This Row],[Rating]],Sheet6!$B$3:$B$7,Sheet6!$C$3:$C$7)</f>
        <v>4</v>
      </c>
    </row>
    <row r="169" spans="1:13">
      <c r="A169" s="5" t="s">
        <v>98</v>
      </c>
      <c r="B169" s="5" t="s">
        <v>15</v>
      </c>
      <c r="C169" s="5" t="s">
        <v>9</v>
      </c>
      <c r="D169" s="5">
        <v>27</v>
      </c>
      <c r="E169" s="10">
        <v>44609</v>
      </c>
      <c r="F169" s="10">
        <f t="shared" ca="1" si="5"/>
        <v>45573</v>
      </c>
      <c r="G169" s="5">
        <f ca="1">staff[[#This Row],[current date]]-staff[[#This Row],[Date Joined]]</f>
        <v>964</v>
      </c>
      <c r="H169" s="11">
        <f ca="1">staff[[#This Row],[tenure]]/365</f>
        <v>2.6410958904109587</v>
      </c>
      <c r="I169" s="24">
        <v>113280</v>
      </c>
      <c r="J169" s="5" t="s">
        <v>42</v>
      </c>
      <c r="K169" s="5" t="s">
        <v>205</v>
      </c>
      <c r="L169" s="24">
        <f ca="1">ROUNDUP(IF(staff[[#This Row],[tenure in year]]&gt;2,3%,2%)*staff[[#This Row],[Salary]],0)</f>
        <v>3399</v>
      </c>
      <c r="M169" s="5">
        <f>_xlfn.XLOOKUP(staff[[#This Row],[Rating]],Sheet6!$B$3:$B$7,Sheet6!$C$3:$C$7)</f>
        <v>1</v>
      </c>
    </row>
    <row r="170" spans="1:13">
      <c r="A170" s="5" t="s">
        <v>191</v>
      </c>
      <c r="B170" s="5" t="s">
        <v>15</v>
      </c>
      <c r="C170" s="5" t="s">
        <v>9</v>
      </c>
      <c r="D170" s="5">
        <v>27</v>
      </c>
      <c r="E170" s="10">
        <v>44547</v>
      </c>
      <c r="F170" s="10">
        <f t="shared" ca="1" si="5"/>
        <v>45573</v>
      </c>
      <c r="G170" s="5">
        <f ca="1">staff[[#This Row],[current date]]-staff[[#This Row],[Date Joined]]</f>
        <v>1026</v>
      </c>
      <c r="H170" s="11">
        <f ca="1">staff[[#This Row],[tenure]]/365</f>
        <v>2.8109589041095893</v>
      </c>
      <c r="I170" s="24">
        <v>113280</v>
      </c>
      <c r="J170" s="5" t="s">
        <v>42</v>
      </c>
      <c r="K170" s="5" t="s">
        <v>207</v>
      </c>
      <c r="L170" s="24">
        <f ca="1">ROUNDUP(IF(staff[[#This Row],[tenure in year]]&gt;2,3%,2%)*staff[[#This Row],[Salary]],0)</f>
        <v>3399</v>
      </c>
      <c r="M170" s="5">
        <f>_xlfn.XLOOKUP(staff[[#This Row],[Rating]],Sheet6!$B$3:$B$7,Sheet6!$C$3:$C$7)</f>
        <v>1</v>
      </c>
    </row>
    <row r="171" spans="1:13">
      <c r="A171" s="5" t="s">
        <v>54</v>
      </c>
      <c r="B171" s="5" t="s">
        <v>8</v>
      </c>
      <c r="C171" s="5" t="s">
        <v>9</v>
      </c>
      <c r="D171" s="5">
        <v>30</v>
      </c>
      <c r="E171" s="10">
        <v>44850</v>
      </c>
      <c r="F171" s="10">
        <f t="shared" ca="1" si="5"/>
        <v>45573</v>
      </c>
      <c r="G171" s="5">
        <f ca="1">staff[[#This Row],[current date]]-staff[[#This Row],[Date Joined]]</f>
        <v>723</v>
      </c>
      <c r="H171" s="11">
        <f ca="1">staff[[#This Row],[tenure]]/365</f>
        <v>1.9808219178082191</v>
      </c>
      <c r="I171" s="24">
        <v>114180</v>
      </c>
      <c r="J171" s="5" t="s">
        <v>16</v>
      </c>
      <c r="K171" s="5" t="s">
        <v>205</v>
      </c>
      <c r="L171" s="24">
        <f ca="1">ROUNDUP(IF(staff[[#This Row],[tenure in year]]&gt;2,3%,2%)*staff[[#This Row],[Salary]],0)</f>
        <v>2284</v>
      </c>
      <c r="M171" s="5">
        <f>_xlfn.XLOOKUP(staff[[#This Row],[Rating]],Sheet6!$B$3:$B$7,Sheet6!$C$3:$C$7)</f>
        <v>3</v>
      </c>
    </row>
    <row r="172" spans="1:13">
      <c r="A172" s="5" t="s">
        <v>147</v>
      </c>
      <c r="B172" s="5" t="s">
        <v>8</v>
      </c>
      <c r="C172" s="5" t="s">
        <v>9</v>
      </c>
      <c r="D172" s="5">
        <v>30</v>
      </c>
      <c r="E172" s="10">
        <v>44789</v>
      </c>
      <c r="F172" s="10">
        <f t="shared" ca="1" si="5"/>
        <v>45573</v>
      </c>
      <c r="G172" s="5">
        <f ca="1">staff[[#This Row],[current date]]-staff[[#This Row],[Date Joined]]</f>
        <v>784</v>
      </c>
      <c r="H172" s="11">
        <f ca="1">staff[[#This Row],[tenure]]/365</f>
        <v>2.1479452054794521</v>
      </c>
      <c r="I172" s="24">
        <v>114180</v>
      </c>
      <c r="J172" s="5" t="s">
        <v>16</v>
      </c>
      <c r="K172" s="5" t="s">
        <v>207</v>
      </c>
      <c r="L172" s="24">
        <f ca="1">ROUNDUP(IF(staff[[#This Row],[tenure in year]]&gt;2,3%,2%)*staff[[#This Row],[Salary]],0)</f>
        <v>3426</v>
      </c>
      <c r="M172" s="5">
        <f>_xlfn.XLOOKUP(staff[[#This Row],[Rating]],Sheet6!$B$3:$B$7,Sheet6!$C$3:$C$7)</f>
        <v>3</v>
      </c>
    </row>
    <row r="173" spans="1:13">
      <c r="A173" s="5" t="s">
        <v>17</v>
      </c>
      <c r="B173" s="5" t="s">
        <v>8</v>
      </c>
      <c r="C173" s="5" t="s">
        <v>12</v>
      </c>
      <c r="D173" s="5">
        <v>43</v>
      </c>
      <c r="E173" s="10">
        <v>45045</v>
      </c>
      <c r="F173" s="10">
        <f t="shared" ca="1" si="5"/>
        <v>45573</v>
      </c>
      <c r="G173" s="5">
        <f ca="1">staff[[#This Row],[current date]]-staff[[#This Row],[Date Joined]]</f>
        <v>528</v>
      </c>
      <c r="H173" s="11">
        <f ca="1">staff[[#This Row],[tenure]]/365</f>
        <v>1.4465753424657535</v>
      </c>
      <c r="I173" s="24">
        <v>114870</v>
      </c>
      <c r="J173" s="5" t="s">
        <v>16</v>
      </c>
      <c r="K173" s="5" t="s">
        <v>205</v>
      </c>
      <c r="L173" s="24">
        <f ca="1">ROUNDUP(IF(staff[[#This Row],[tenure in year]]&gt;2,3%,2%)*staff[[#This Row],[Salary]],0)</f>
        <v>2298</v>
      </c>
      <c r="M173" s="5">
        <f>_xlfn.XLOOKUP(staff[[#This Row],[Rating]],Sheet6!$B$3:$B$7,Sheet6!$C$3:$C$7)</f>
        <v>3</v>
      </c>
    </row>
    <row r="174" spans="1:13">
      <c r="A174" s="5" t="s">
        <v>114</v>
      </c>
      <c r="B174" s="5" t="s">
        <v>8</v>
      </c>
      <c r="C174" s="5" t="s">
        <v>12</v>
      </c>
      <c r="D174" s="5">
        <v>44</v>
      </c>
      <c r="E174" s="10">
        <v>44985</v>
      </c>
      <c r="F174" s="10">
        <f t="shared" ca="1" si="5"/>
        <v>45573</v>
      </c>
      <c r="G174" s="5">
        <f ca="1">staff[[#This Row],[current date]]-staff[[#This Row],[Date Joined]]</f>
        <v>588</v>
      </c>
      <c r="H174" s="11">
        <f ca="1">staff[[#This Row],[tenure]]/365</f>
        <v>1.6109589041095891</v>
      </c>
      <c r="I174" s="24">
        <v>114870</v>
      </c>
      <c r="J174" s="5" t="s">
        <v>16</v>
      </c>
      <c r="K174" s="5" t="s">
        <v>207</v>
      </c>
      <c r="L174" s="24">
        <f ca="1">ROUNDUP(IF(staff[[#This Row],[tenure in year]]&gt;2,3%,2%)*staff[[#This Row],[Salary]],0)</f>
        <v>2298</v>
      </c>
      <c r="M174" s="5">
        <f>_xlfn.XLOOKUP(staff[[#This Row],[Rating]],Sheet6!$B$3:$B$7,Sheet6!$C$3:$C$7)</f>
        <v>3</v>
      </c>
    </row>
    <row r="175" spans="1:13">
      <c r="A175" s="5" t="s">
        <v>83</v>
      </c>
      <c r="B175" s="5" t="s">
        <v>8</v>
      </c>
      <c r="C175" s="5" t="s">
        <v>9</v>
      </c>
      <c r="D175" s="5">
        <v>36</v>
      </c>
      <c r="E175" s="10">
        <v>44085</v>
      </c>
      <c r="F175" s="10">
        <f t="shared" ca="1" si="5"/>
        <v>45573</v>
      </c>
      <c r="G175" s="5">
        <f ca="1">staff[[#This Row],[current date]]-staff[[#This Row],[Date Joined]]</f>
        <v>1488</v>
      </c>
      <c r="H175" s="11">
        <f ca="1">staff[[#This Row],[tenure]]/365</f>
        <v>4.0767123287671234</v>
      </c>
      <c r="I175" s="24">
        <v>114890</v>
      </c>
      <c r="J175" s="5" t="s">
        <v>16</v>
      </c>
      <c r="K175" s="5" t="s">
        <v>205</v>
      </c>
      <c r="L175" s="24">
        <f ca="1">ROUNDUP(IF(staff[[#This Row],[tenure in year]]&gt;2,3%,2%)*staff[[#This Row],[Salary]],0)</f>
        <v>3447</v>
      </c>
      <c r="M175" s="5">
        <f>_xlfn.XLOOKUP(staff[[#This Row],[Rating]],Sheet6!$B$3:$B$7,Sheet6!$C$3:$C$7)</f>
        <v>3</v>
      </c>
    </row>
    <row r="176" spans="1:13">
      <c r="A176" s="5" t="s">
        <v>175</v>
      </c>
      <c r="B176" s="5" t="s">
        <v>8</v>
      </c>
      <c r="C176" s="5" t="s">
        <v>9</v>
      </c>
      <c r="D176" s="5">
        <v>36</v>
      </c>
      <c r="E176" s="10">
        <v>44023</v>
      </c>
      <c r="F176" s="10">
        <f t="shared" ca="1" si="5"/>
        <v>45573</v>
      </c>
      <c r="G176" s="5">
        <f ca="1">staff[[#This Row],[current date]]-staff[[#This Row],[Date Joined]]</f>
        <v>1550</v>
      </c>
      <c r="H176" s="11">
        <f ca="1">staff[[#This Row],[tenure]]/365</f>
        <v>4.2465753424657535</v>
      </c>
      <c r="I176" s="24">
        <v>114890</v>
      </c>
      <c r="J176" s="5" t="s">
        <v>16</v>
      </c>
      <c r="K176" s="5" t="s">
        <v>207</v>
      </c>
      <c r="L176" s="24">
        <f ca="1">ROUNDUP(IF(staff[[#This Row],[tenure in year]]&gt;2,3%,2%)*staff[[#This Row],[Salary]],0)</f>
        <v>3447</v>
      </c>
      <c r="M176" s="5">
        <f>_xlfn.XLOOKUP(staff[[#This Row],[Rating]],Sheet6!$B$3:$B$7,Sheet6!$C$3:$C$7)</f>
        <v>3</v>
      </c>
    </row>
    <row r="177" spans="1:13">
      <c r="A177" s="5" t="s">
        <v>49</v>
      </c>
      <c r="B177" s="5" t="s">
        <v>206</v>
      </c>
      <c r="C177" s="5" t="s">
        <v>21</v>
      </c>
      <c r="D177" s="5">
        <v>37</v>
      </c>
      <c r="E177" s="10">
        <v>44146</v>
      </c>
      <c r="F177" s="10">
        <f t="shared" ca="1" si="5"/>
        <v>45573</v>
      </c>
      <c r="G177" s="5">
        <f ca="1">staff[[#This Row],[current date]]-staff[[#This Row],[Date Joined]]</f>
        <v>1427</v>
      </c>
      <c r="H177" s="11">
        <f ca="1">staff[[#This Row],[tenure]]/365</f>
        <v>3.9095890410958902</v>
      </c>
      <c r="I177" s="24">
        <v>115440</v>
      </c>
      <c r="J177" s="5" t="s">
        <v>24</v>
      </c>
      <c r="K177" s="5" t="s">
        <v>205</v>
      </c>
      <c r="L177" s="24">
        <f ca="1">ROUNDUP(IF(staff[[#This Row],[tenure in year]]&gt;2,3%,2%)*staff[[#This Row],[Salary]],0)</f>
        <v>3464</v>
      </c>
      <c r="M177" s="5">
        <f>_xlfn.XLOOKUP(staff[[#This Row],[Rating]],Sheet6!$B$3:$B$7,Sheet6!$C$3:$C$7)</f>
        <v>2</v>
      </c>
    </row>
    <row r="178" spans="1:13">
      <c r="A178" s="5" t="s">
        <v>142</v>
      </c>
      <c r="B178" s="5" t="s">
        <v>206</v>
      </c>
      <c r="C178" s="5" t="s">
        <v>21</v>
      </c>
      <c r="D178" s="5">
        <v>37</v>
      </c>
      <c r="E178" s="10">
        <v>44085</v>
      </c>
      <c r="F178" s="10">
        <f t="shared" ca="1" si="5"/>
        <v>45573</v>
      </c>
      <c r="G178" s="5">
        <f ca="1">staff[[#This Row],[current date]]-staff[[#This Row],[Date Joined]]</f>
        <v>1488</v>
      </c>
      <c r="H178" s="11">
        <f ca="1">staff[[#This Row],[tenure]]/365</f>
        <v>4.0767123287671234</v>
      </c>
      <c r="I178" s="24">
        <v>115440</v>
      </c>
      <c r="J178" s="5" t="s">
        <v>24</v>
      </c>
      <c r="K178" s="5" t="s">
        <v>207</v>
      </c>
      <c r="L178" s="24">
        <f ca="1">ROUNDUP(IF(staff[[#This Row],[tenure in year]]&gt;2,3%,2%)*staff[[#This Row],[Salary]],0)</f>
        <v>3464</v>
      </c>
      <c r="M178" s="5">
        <f>_xlfn.XLOOKUP(staff[[#This Row],[Rating]],Sheet6!$B$3:$B$7,Sheet6!$C$3:$C$7)</f>
        <v>2</v>
      </c>
    </row>
    <row r="179" spans="1:13">
      <c r="A179" s="5" t="s">
        <v>40</v>
      </c>
      <c r="B179" s="5" t="s">
        <v>15</v>
      </c>
      <c r="C179" s="5" t="s">
        <v>9</v>
      </c>
      <c r="D179" s="5">
        <v>33</v>
      </c>
      <c r="E179" s="10">
        <v>44164</v>
      </c>
      <c r="F179" s="10">
        <f t="shared" ca="1" si="5"/>
        <v>45573</v>
      </c>
      <c r="G179" s="5">
        <f ca="1">staff[[#This Row],[current date]]-staff[[#This Row],[Date Joined]]</f>
        <v>1409</v>
      </c>
      <c r="H179" s="11">
        <f ca="1">staff[[#This Row],[tenure]]/365</f>
        <v>3.8602739726027395</v>
      </c>
      <c r="I179" s="24">
        <v>115920</v>
      </c>
      <c r="J179" s="5" t="s">
        <v>16</v>
      </c>
      <c r="K179" s="5" t="s">
        <v>205</v>
      </c>
      <c r="L179" s="24">
        <f ca="1">ROUNDUP(IF(staff[[#This Row],[tenure in year]]&gt;2,3%,2%)*staff[[#This Row],[Salary]],0)</f>
        <v>3478</v>
      </c>
      <c r="M179" s="5">
        <f>_xlfn.XLOOKUP(staff[[#This Row],[Rating]],Sheet6!$B$3:$B$7,Sheet6!$C$3:$C$7)</f>
        <v>3</v>
      </c>
    </row>
    <row r="180" spans="1:13">
      <c r="A180" s="5" t="s">
        <v>134</v>
      </c>
      <c r="B180" s="5" t="s">
        <v>15</v>
      </c>
      <c r="C180" s="5" t="s">
        <v>9</v>
      </c>
      <c r="D180" s="5">
        <v>33</v>
      </c>
      <c r="E180" s="10">
        <v>44103</v>
      </c>
      <c r="F180" s="10">
        <f t="shared" ca="1" si="5"/>
        <v>45573</v>
      </c>
      <c r="G180" s="5">
        <f ca="1">staff[[#This Row],[current date]]-staff[[#This Row],[Date Joined]]</f>
        <v>1470</v>
      </c>
      <c r="H180" s="11">
        <f ca="1">staff[[#This Row],[tenure]]/365</f>
        <v>4.0273972602739727</v>
      </c>
      <c r="I180" s="24">
        <v>115920</v>
      </c>
      <c r="J180" s="5" t="s">
        <v>16</v>
      </c>
      <c r="K180" s="5" t="s">
        <v>207</v>
      </c>
      <c r="L180" s="24">
        <f ca="1">ROUNDUP(IF(staff[[#This Row],[tenure in year]]&gt;2,3%,2%)*staff[[#This Row],[Salary]],0)</f>
        <v>3478</v>
      </c>
      <c r="M180" s="5">
        <f>_xlfn.XLOOKUP(staff[[#This Row],[Rating]],Sheet6!$B$3:$B$7,Sheet6!$C$3:$C$7)</f>
        <v>3</v>
      </c>
    </row>
    <row r="181" spans="1:13">
      <c r="A181" s="5" t="s">
        <v>55</v>
      </c>
      <c r="B181" s="5" t="s">
        <v>8</v>
      </c>
      <c r="C181" s="5" t="s">
        <v>56</v>
      </c>
      <c r="D181" s="5">
        <v>37</v>
      </c>
      <c r="E181" s="10">
        <v>44451</v>
      </c>
      <c r="F181" s="10">
        <f t="shared" ca="1" si="5"/>
        <v>45573</v>
      </c>
      <c r="G181" s="5">
        <f ca="1">staff[[#This Row],[current date]]-staff[[#This Row],[Date Joined]]</f>
        <v>1122</v>
      </c>
      <c r="H181" s="11">
        <f ca="1">staff[[#This Row],[tenure]]/365</f>
        <v>3.0739726027397261</v>
      </c>
      <c r="I181" s="24">
        <v>118100</v>
      </c>
      <c r="J181" s="5" t="s">
        <v>16</v>
      </c>
      <c r="K181" s="5" t="s">
        <v>205</v>
      </c>
      <c r="L181" s="24">
        <f ca="1">ROUNDUP(IF(staff[[#This Row],[tenure in year]]&gt;2,3%,2%)*staff[[#This Row],[Salary]],0)</f>
        <v>3543</v>
      </c>
      <c r="M181" s="5">
        <f>_xlfn.XLOOKUP(staff[[#This Row],[Rating]],Sheet6!$B$3:$B$7,Sheet6!$C$3:$C$7)</f>
        <v>3</v>
      </c>
    </row>
    <row r="182" spans="1:13">
      <c r="A182" s="5" t="s">
        <v>148</v>
      </c>
      <c r="B182" s="5" t="s">
        <v>8</v>
      </c>
      <c r="C182" s="5" t="s">
        <v>56</v>
      </c>
      <c r="D182" s="5">
        <v>37</v>
      </c>
      <c r="E182" s="10">
        <v>44389</v>
      </c>
      <c r="F182" s="10">
        <f t="shared" ca="1" si="5"/>
        <v>45573</v>
      </c>
      <c r="G182" s="5">
        <f ca="1">staff[[#This Row],[current date]]-staff[[#This Row],[Date Joined]]</f>
        <v>1184</v>
      </c>
      <c r="H182" s="11">
        <f ca="1">staff[[#This Row],[tenure]]/365</f>
        <v>3.2438356164383562</v>
      </c>
      <c r="I182" s="24">
        <v>118100</v>
      </c>
      <c r="J182" s="5" t="s">
        <v>16</v>
      </c>
      <c r="K182" s="5" t="s">
        <v>207</v>
      </c>
      <c r="L182" s="24">
        <f ca="1">ROUNDUP(IF(staff[[#This Row],[tenure in year]]&gt;2,3%,2%)*staff[[#This Row],[Salary]],0)</f>
        <v>3543</v>
      </c>
      <c r="M182" s="5">
        <f>_xlfn.XLOOKUP(staff[[#This Row],[Rating]],Sheet6!$B$3:$B$7,Sheet6!$C$3:$C$7)</f>
        <v>3</v>
      </c>
    </row>
    <row r="183" spans="1:13">
      <c r="A183" s="5" t="s">
        <v>106</v>
      </c>
      <c r="B183" s="5" t="s">
        <v>15</v>
      </c>
      <c r="C183" s="5" t="s">
        <v>12</v>
      </c>
      <c r="D183" s="5">
        <v>36</v>
      </c>
      <c r="E183" s="10">
        <v>44019</v>
      </c>
      <c r="F183" s="10">
        <f t="shared" ca="1" si="5"/>
        <v>45573</v>
      </c>
      <c r="G183" s="5">
        <f ca="1">staff[[#This Row],[current date]]-staff[[#This Row],[Date Joined]]</f>
        <v>1554</v>
      </c>
      <c r="H183" s="11">
        <f ca="1">staff[[#This Row],[tenure]]/365</f>
        <v>4.2575342465753421</v>
      </c>
      <c r="I183" s="24">
        <v>118840</v>
      </c>
      <c r="J183" s="5" t="s">
        <v>16</v>
      </c>
      <c r="K183" s="5" t="s">
        <v>205</v>
      </c>
      <c r="L183" s="24">
        <f ca="1">ROUNDUP(IF(staff[[#This Row],[tenure in year]]&gt;2,3%,2%)*staff[[#This Row],[Salary]],0)</f>
        <v>3566</v>
      </c>
      <c r="M183" s="5">
        <f>_xlfn.XLOOKUP(staff[[#This Row],[Rating]],Sheet6!$B$3:$B$7,Sheet6!$C$3:$C$7)</f>
        <v>3</v>
      </c>
    </row>
    <row r="184" spans="1:13">
      <c r="A184" s="5" t="s">
        <v>199</v>
      </c>
      <c r="B184" s="5" t="s">
        <v>15</v>
      </c>
      <c r="C184" s="5" t="s">
        <v>12</v>
      </c>
      <c r="D184" s="5">
        <v>36</v>
      </c>
      <c r="E184" s="10">
        <v>43958</v>
      </c>
      <c r="F184" s="10">
        <f t="shared" ca="1" si="5"/>
        <v>45573</v>
      </c>
      <c r="G184" s="5">
        <f ca="1">staff[[#This Row],[current date]]-staff[[#This Row],[Date Joined]]</f>
        <v>1615</v>
      </c>
      <c r="H184" s="11">
        <f ca="1">staff[[#This Row],[tenure]]/365</f>
        <v>4.4246575342465757</v>
      </c>
      <c r="I184" s="24">
        <v>118840</v>
      </c>
      <c r="J184" s="5" t="s">
        <v>16</v>
      </c>
      <c r="K184" s="5" t="s">
        <v>207</v>
      </c>
      <c r="L184" s="24">
        <f ca="1">ROUNDUP(IF(staff[[#This Row],[tenure in year]]&gt;2,3%,2%)*staff[[#This Row],[Salary]],0)</f>
        <v>3566</v>
      </c>
      <c r="M184" s="5">
        <f>_xlfn.XLOOKUP(staff[[#This Row],[Rating]],Sheet6!$B$3:$B$7,Sheet6!$C$3:$C$7)</f>
        <v>3</v>
      </c>
    </row>
    <row r="185" spans="1:13">
      <c r="A185" s="5" t="s">
        <v>60</v>
      </c>
      <c r="B185" s="5" t="s">
        <v>8</v>
      </c>
      <c r="C185" s="5" t="s">
        <v>56</v>
      </c>
      <c r="D185" s="5">
        <v>27</v>
      </c>
      <c r="E185" s="10">
        <v>44122</v>
      </c>
      <c r="F185" s="10">
        <f t="shared" ca="1" si="5"/>
        <v>45573</v>
      </c>
      <c r="G185" s="5">
        <f ca="1">staff[[#This Row],[current date]]-staff[[#This Row],[Date Joined]]</f>
        <v>1451</v>
      </c>
      <c r="H185" s="11">
        <f ca="1">staff[[#This Row],[tenure]]/365</f>
        <v>3.9753424657534246</v>
      </c>
      <c r="I185" s="24">
        <v>119110</v>
      </c>
      <c r="J185" s="5" t="s">
        <v>16</v>
      </c>
      <c r="K185" s="5" t="s">
        <v>205</v>
      </c>
      <c r="L185" s="24">
        <f ca="1">ROUNDUP(IF(staff[[#This Row],[tenure in year]]&gt;2,3%,2%)*staff[[#This Row],[Salary]],0)</f>
        <v>3574</v>
      </c>
      <c r="M185" s="5">
        <f>_xlfn.XLOOKUP(staff[[#This Row],[Rating]],Sheet6!$B$3:$B$7,Sheet6!$C$3:$C$7)</f>
        <v>3</v>
      </c>
    </row>
    <row r="186" spans="1:13">
      <c r="A186" s="5" t="s">
        <v>152</v>
      </c>
      <c r="B186" s="5" t="s">
        <v>8</v>
      </c>
      <c r="C186" s="5" t="s">
        <v>56</v>
      </c>
      <c r="D186" s="5">
        <v>27</v>
      </c>
      <c r="E186" s="10">
        <v>44061</v>
      </c>
      <c r="F186" s="10">
        <f t="shared" ca="1" si="5"/>
        <v>45573</v>
      </c>
      <c r="G186" s="5">
        <f ca="1">staff[[#This Row],[current date]]-staff[[#This Row],[Date Joined]]</f>
        <v>1512</v>
      </c>
      <c r="H186" s="11">
        <f ca="1">staff[[#This Row],[tenure]]/365</f>
        <v>4.1424657534246574</v>
      </c>
      <c r="I186" s="24">
        <v>119110</v>
      </c>
      <c r="J186" s="5" t="s">
        <v>16</v>
      </c>
      <c r="K186" s="5" t="s">
        <v>207</v>
      </c>
      <c r="L186" s="24">
        <f ca="1">ROUNDUP(IF(staff[[#This Row],[tenure in year]]&gt;2,3%,2%)*staff[[#This Row],[Salary]],0)</f>
        <v>3574</v>
      </c>
      <c r="M186" s="5">
        <f>_xlfn.XLOOKUP(staff[[#This Row],[Rating]],Sheet6!$B$3:$B$7,Sheet6!$C$3:$C$7)</f>
        <v>3</v>
      </c>
    </row>
  </sheetData>
  <conditionalFormatting sqref="I1:I1048576">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EB23B-37D0-4971-A8C6-4BD03882394B}">
  <sheetPr>
    <tabColor rgb="FF002060"/>
  </sheetPr>
  <dimension ref="B1:C40"/>
  <sheetViews>
    <sheetView workbookViewId="0">
      <selection activeCell="A12" sqref="A12"/>
    </sheetView>
  </sheetViews>
  <sheetFormatPr defaultRowHeight="15"/>
  <cols>
    <col min="2" max="2" width="20.42578125" bestFit="1" customWidth="1"/>
    <col min="3" max="3" width="14.42578125" bestFit="1" customWidth="1"/>
    <col min="4" max="185" width="30" bestFit="1" customWidth="1"/>
    <col min="186" max="187" width="11.28515625" bestFit="1" customWidth="1"/>
  </cols>
  <sheetData>
    <row r="1" spans="2:3">
      <c r="B1" s="17" t="s">
        <v>252</v>
      </c>
      <c r="C1" t="s" vm="1">
        <v>232</v>
      </c>
    </row>
    <row r="3" spans="2:3">
      <c r="B3" s="17" t="s">
        <v>226</v>
      </c>
      <c r="C3" t="s">
        <v>227</v>
      </c>
    </row>
    <row r="4" spans="2:3">
      <c r="B4" s="18" t="s">
        <v>236</v>
      </c>
    </row>
    <row r="5" spans="2:3">
      <c r="B5" s="19" t="s">
        <v>237</v>
      </c>
      <c r="C5">
        <v>3</v>
      </c>
    </row>
    <row r="6" spans="2:3">
      <c r="B6" s="19" t="s">
        <v>238</v>
      </c>
      <c r="C6">
        <v>4</v>
      </c>
    </row>
    <row r="7" spans="2:3">
      <c r="B7" s="19" t="s">
        <v>239</v>
      </c>
      <c r="C7">
        <v>9</v>
      </c>
    </row>
    <row r="8" spans="2:3">
      <c r="B8" s="19" t="s">
        <v>240</v>
      </c>
      <c r="C8">
        <v>12</v>
      </c>
    </row>
    <row r="9" spans="2:3">
      <c r="B9" s="19" t="s">
        <v>241</v>
      </c>
      <c r="C9">
        <v>18</v>
      </c>
    </row>
    <row r="10" spans="2:3">
      <c r="B10" s="19" t="s">
        <v>242</v>
      </c>
      <c r="C10">
        <v>24</v>
      </c>
    </row>
    <row r="11" spans="2:3">
      <c r="B11" s="19" t="s">
        <v>243</v>
      </c>
      <c r="C11">
        <v>30</v>
      </c>
    </row>
    <row r="12" spans="2:3">
      <c r="B12" s="19" t="s">
        <v>244</v>
      </c>
      <c r="C12">
        <v>37</v>
      </c>
    </row>
    <row r="13" spans="2:3">
      <c r="B13" s="18" t="s">
        <v>245</v>
      </c>
    </row>
    <row r="14" spans="2:3">
      <c r="B14" s="19" t="s">
        <v>246</v>
      </c>
      <c r="C14">
        <v>6</v>
      </c>
    </row>
    <row r="15" spans="2:3">
      <c r="B15" s="19" t="s">
        <v>247</v>
      </c>
      <c r="C15">
        <v>10</v>
      </c>
    </row>
    <row r="16" spans="2:3">
      <c r="B16" s="19" t="s">
        <v>248</v>
      </c>
      <c r="C16">
        <v>19</v>
      </c>
    </row>
    <row r="17" spans="2:3">
      <c r="B17" s="19" t="s">
        <v>249</v>
      </c>
      <c r="C17">
        <v>24</v>
      </c>
    </row>
    <row r="18" spans="2:3">
      <c r="B18" s="19" t="s">
        <v>237</v>
      </c>
      <c r="C18">
        <v>34</v>
      </c>
    </row>
    <row r="19" spans="2:3">
      <c r="B19" s="19" t="s">
        <v>238</v>
      </c>
      <c r="C19">
        <v>40</v>
      </c>
    </row>
    <row r="20" spans="2:3">
      <c r="B20" s="19" t="s">
        <v>239</v>
      </c>
      <c r="C20">
        <v>53</v>
      </c>
    </row>
    <row r="21" spans="2:3">
      <c r="B21" s="19" t="s">
        <v>240</v>
      </c>
      <c r="C21">
        <v>57</v>
      </c>
    </row>
    <row r="22" spans="2:3">
      <c r="B22" s="19" t="s">
        <v>241</v>
      </c>
      <c r="C22">
        <v>69</v>
      </c>
    </row>
    <row r="23" spans="2:3">
      <c r="B23" s="19" t="s">
        <v>242</v>
      </c>
      <c r="C23">
        <v>72</v>
      </c>
    </row>
    <row r="24" spans="2:3">
      <c r="B24" s="19" t="s">
        <v>243</v>
      </c>
      <c r="C24">
        <v>76</v>
      </c>
    </row>
    <row r="25" spans="2:3">
      <c r="B25" s="19" t="s">
        <v>244</v>
      </c>
      <c r="C25">
        <v>83</v>
      </c>
    </row>
    <row r="26" spans="2:3">
      <c r="B26" s="18" t="s">
        <v>250</v>
      </c>
    </row>
    <row r="27" spans="2:3">
      <c r="B27" s="19" t="s">
        <v>246</v>
      </c>
      <c r="C27">
        <v>3</v>
      </c>
    </row>
    <row r="28" spans="2:3">
      <c r="B28" s="19" t="s">
        <v>247</v>
      </c>
      <c r="C28">
        <v>13</v>
      </c>
    </row>
    <row r="29" spans="2:3">
      <c r="B29" s="19" t="s">
        <v>248</v>
      </c>
      <c r="C29">
        <v>22</v>
      </c>
    </row>
    <row r="30" spans="2:3">
      <c r="B30" s="19" t="s">
        <v>249</v>
      </c>
      <c r="C30">
        <v>31</v>
      </c>
    </row>
    <row r="31" spans="2:3">
      <c r="B31" s="19" t="s">
        <v>237</v>
      </c>
      <c r="C31">
        <v>41</v>
      </c>
    </row>
    <row r="32" spans="2:3">
      <c r="B32" s="19" t="s">
        <v>238</v>
      </c>
      <c r="C32">
        <v>48</v>
      </c>
    </row>
    <row r="33" spans="2:3">
      <c r="B33" s="19" t="s">
        <v>239</v>
      </c>
      <c r="C33">
        <v>53</v>
      </c>
    </row>
    <row r="34" spans="2:3">
      <c r="B34" s="19" t="s">
        <v>240</v>
      </c>
      <c r="C34">
        <v>58</v>
      </c>
    </row>
    <row r="35" spans="2:3">
      <c r="B35" s="19" t="s">
        <v>241</v>
      </c>
      <c r="C35">
        <v>60</v>
      </c>
    </row>
    <row r="36" spans="2:3">
      <c r="B36" s="19" t="s">
        <v>242</v>
      </c>
      <c r="C36">
        <v>63</v>
      </c>
    </row>
    <row r="37" spans="2:3">
      <c r="B37" s="18" t="s">
        <v>251</v>
      </c>
    </row>
    <row r="38" spans="2:3">
      <c r="B38" s="19" t="s">
        <v>247</v>
      </c>
      <c r="C38">
        <v>1</v>
      </c>
    </row>
    <row r="39" spans="2:3">
      <c r="B39" s="19" t="s">
        <v>249</v>
      </c>
      <c r="C39">
        <v>2</v>
      </c>
    </row>
    <row r="40" spans="2:3">
      <c r="B40" s="18" t="s">
        <v>225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8FE61-1EFC-4F18-8883-DB7BC345A4DD}">
  <sheetPr>
    <tabColor rgb="FFFF0000"/>
  </sheetPr>
  <dimension ref="A1"/>
  <sheetViews>
    <sheetView topLeftCell="E1" workbookViewId="0">
      <selection activeCell="N2" sqref="N2"/>
    </sheetView>
  </sheetViews>
  <sheetFormatPr defaultRowHeight="1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7055E-443A-45D9-8192-21122A4691EF}">
  <sheetPr>
    <tabColor rgb="FF92D050"/>
  </sheetPr>
  <dimension ref="B3:L59"/>
  <sheetViews>
    <sheetView workbookViewId="0">
      <selection activeCell="B6" sqref="B6"/>
    </sheetView>
  </sheetViews>
  <sheetFormatPr defaultRowHeight="15"/>
  <cols>
    <col min="2" max="2" width="17.42578125" bestFit="1" customWidth="1"/>
    <col min="5" max="5" width="14.28515625" bestFit="1" customWidth="1"/>
    <col min="6" max="6" width="6" bestFit="1" customWidth="1"/>
    <col min="10" max="10" width="7" bestFit="1" customWidth="1"/>
    <col min="11" max="11" width="14.28515625" bestFit="1" customWidth="1"/>
  </cols>
  <sheetData>
    <row r="3" spans="2:12">
      <c r="B3" t="s">
        <v>221</v>
      </c>
      <c r="C3" t="s">
        <v>223</v>
      </c>
    </row>
    <row r="4" spans="2:12">
      <c r="B4" t="s">
        <v>222</v>
      </c>
      <c r="C4">
        <f ca="1">COUNTIF(_xlfn.ANCHORARRAY(B6),C3)</f>
        <v>54</v>
      </c>
    </row>
    <row r="5" spans="2:12">
      <c r="B5" s="5">
        <v>1</v>
      </c>
      <c r="C5" s="5">
        <v>2</v>
      </c>
      <c r="D5" s="5">
        <v>3</v>
      </c>
      <c r="E5" s="5">
        <v>4</v>
      </c>
      <c r="F5" s="5">
        <v>5</v>
      </c>
      <c r="G5" s="5">
        <v>6</v>
      </c>
      <c r="H5" s="5">
        <v>7</v>
      </c>
      <c r="I5" s="5">
        <v>8</v>
      </c>
      <c r="J5" s="5">
        <v>9</v>
      </c>
      <c r="K5" s="5">
        <v>10</v>
      </c>
      <c r="L5" s="5">
        <v>11</v>
      </c>
    </row>
    <row r="6" spans="2:12">
      <c r="B6" t="str" cm="1">
        <f t="array" aca="1" ref="B6:E59" ca="1">_xlfn._xlws.SORT(_xlfn.CHOOSECOLS(_xlfn._xlws.FILTER(staff[],staff[Department]=C3),1,3,9,10),3,-1)</f>
        <v>Tawnya Tickel</v>
      </c>
      <c r="C6" t="str">
        <f ca="1"/>
        <v>Website</v>
      </c>
      <c r="D6">
        <f ca="1"/>
        <v>118840</v>
      </c>
      <c r="E6" t="str">
        <f ca="1"/>
        <v>Average</v>
      </c>
    </row>
    <row r="7" spans="2:12">
      <c r="B7" t="str">
        <f ca="1"/>
        <v>Heer Pennathur</v>
      </c>
      <c r="C7" t="str">
        <f ca="1"/>
        <v>Website</v>
      </c>
      <c r="D7">
        <f ca="1"/>
        <v>118840</v>
      </c>
      <c r="E7" t="str">
        <f ca="1"/>
        <v>Average</v>
      </c>
    </row>
    <row r="8" spans="2:12">
      <c r="B8" t="str">
        <f ca="1"/>
        <v>Wilone O'Kielt</v>
      </c>
      <c r="C8" t="str">
        <f ca="1"/>
        <v>Website</v>
      </c>
      <c r="D8">
        <f ca="1"/>
        <v>114870</v>
      </c>
      <c r="E8" t="str">
        <f ca="1"/>
        <v>Average</v>
      </c>
    </row>
    <row r="9" spans="2:12">
      <c r="B9" t="str">
        <f ca="1"/>
        <v>Ramnath Ravuri</v>
      </c>
      <c r="C9" t="str">
        <f ca="1"/>
        <v>Website</v>
      </c>
      <c r="D9">
        <f ca="1"/>
        <v>114870</v>
      </c>
      <c r="E9" t="str">
        <f ca="1"/>
        <v>Average</v>
      </c>
    </row>
    <row r="10" spans="2:12">
      <c r="B10" t="str">
        <f ca="1"/>
        <v>Mollie Hanway</v>
      </c>
      <c r="C10" t="str">
        <f ca="1"/>
        <v>Website</v>
      </c>
      <c r="D10">
        <f ca="1"/>
        <v>112650</v>
      </c>
      <c r="E10" t="str">
        <f ca="1"/>
        <v>Average</v>
      </c>
    </row>
    <row r="11" spans="2:12">
      <c r="B11" t="str">
        <f ca="1"/>
        <v>Deepali Charan</v>
      </c>
      <c r="C11" t="str">
        <f ca="1"/>
        <v>Website</v>
      </c>
      <c r="D11">
        <f ca="1"/>
        <v>112650</v>
      </c>
      <c r="E11" t="str">
        <f ca="1"/>
        <v>Average</v>
      </c>
    </row>
    <row r="12" spans="2:12">
      <c r="B12" t="str">
        <f ca="1"/>
        <v>Bev Lashley</v>
      </c>
      <c r="C12" t="str">
        <f ca="1"/>
        <v>Website</v>
      </c>
      <c r="D12">
        <f ca="1"/>
        <v>112110</v>
      </c>
      <c r="E12" t="str">
        <f ca="1"/>
        <v>Poor</v>
      </c>
    </row>
    <row r="13" spans="2:12">
      <c r="B13" t="str">
        <f ca="1"/>
        <v>Narois Motiwala</v>
      </c>
      <c r="C13" t="str">
        <f ca="1"/>
        <v>Website</v>
      </c>
      <c r="D13">
        <f ca="1"/>
        <v>112110</v>
      </c>
      <c r="E13" t="str">
        <f ca="1"/>
        <v>Poor</v>
      </c>
    </row>
    <row r="14" spans="2:12">
      <c r="B14" t="str">
        <f ca="1"/>
        <v>Kaine Padly</v>
      </c>
      <c r="C14" t="str">
        <f ca="1"/>
        <v>Website</v>
      </c>
      <c r="D14">
        <f ca="1"/>
        <v>107700</v>
      </c>
      <c r="E14" t="str">
        <f ca="1"/>
        <v>Average</v>
      </c>
    </row>
    <row r="15" spans="2:12">
      <c r="B15" t="str">
        <f ca="1"/>
        <v>Hridaynath Tendulkar</v>
      </c>
      <c r="C15" t="str">
        <f ca="1"/>
        <v>Website</v>
      </c>
      <c r="D15">
        <f ca="1"/>
        <v>107700</v>
      </c>
      <c r="E15" t="str">
        <f ca="1"/>
        <v>Average</v>
      </c>
    </row>
    <row r="16" spans="2:12">
      <c r="B16" t="str">
        <f ca="1"/>
        <v>Caro Chappel</v>
      </c>
      <c r="C16" t="str">
        <f ca="1"/>
        <v>Website</v>
      </c>
      <c r="D16">
        <f ca="1"/>
        <v>104410</v>
      </c>
      <c r="E16" t="str">
        <f ca="1"/>
        <v>Average</v>
      </c>
    </row>
    <row r="17" spans="2:5">
      <c r="B17" t="str">
        <f ca="1"/>
        <v>Manjusri Ruchi</v>
      </c>
      <c r="C17" t="str">
        <f ca="1"/>
        <v>Website</v>
      </c>
      <c r="D17">
        <f ca="1"/>
        <v>104410</v>
      </c>
      <c r="E17" t="str">
        <f ca="1"/>
        <v>Average</v>
      </c>
    </row>
    <row r="18" spans="2:5">
      <c r="B18" t="str">
        <f ca="1"/>
        <v>Collin Jagson</v>
      </c>
      <c r="C18" t="str">
        <f ca="1"/>
        <v>Website</v>
      </c>
      <c r="D18">
        <f ca="1"/>
        <v>100420</v>
      </c>
      <c r="E18" t="str">
        <f ca="1"/>
        <v>Average</v>
      </c>
    </row>
    <row r="19" spans="2:5">
      <c r="B19" t="str">
        <f ca="1"/>
        <v>Amlankusum Rajabhushan</v>
      </c>
      <c r="C19" t="str">
        <f ca="1"/>
        <v>Website</v>
      </c>
      <c r="D19">
        <f ca="1"/>
        <v>100420</v>
      </c>
      <c r="E19" t="str">
        <f ca="1"/>
        <v>Average</v>
      </c>
    </row>
    <row r="20" spans="2:5">
      <c r="B20" t="str">
        <f ca="1"/>
        <v>Torrance Collier</v>
      </c>
      <c r="C20" t="str">
        <f ca="1"/>
        <v>Website</v>
      </c>
      <c r="D20">
        <f ca="1"/>
        <v>96140</v>
      </c>
      <c r="E20" t="str">
        <f ca="1"/>
        <v>Average</v>
      </c>
    </row>
    <row r="21" spans="2:5">
      <c r="B21" t="str">
        <f ca="1"/>
        <v>Sukhdev Nageshwar</v>
      </c>
      <c r="C21" t="str">
        <f ca="1"/>
        <v>Website</v>
      </c>
      <c r="D21">
        <f ca="1"/>
        <v>96140</v>
      </c>
      <c r="E21" t="str">
        <f ca="1"/>
        <v>Average</v>
      </c>
    </row>
    <row r="22" spans="2:5">
      <c r="B22" t="str">
        <f ca="1"/>
        <v>Madge McCloughen</v>
      </c>
      <c r="C22" t="str">
        <f ca="1"/>
        <v>Website</v>
      </c>
      <c r="D22">
        <f ca="1"/>
        <v>91310</v>
      </c>
      <c r="E22" t="str">
        <f ca="1"/>
        <v>Average</v>
      </c>
    </row>
    <row r="23" spans="2:5">
      <c r="B23" t="str">
        <f ca="1"/>
        <v>Rukma Vinita</v>
      </c>
      <c r="C23" t="str">
        <f ca="1"/>
        <v>Website</v>
      </c>
      <c r="D23">
        <f ca="1"/>
        <v>91310</v>
      </c>
      <c r="E23" t="str">
        <f ca="1"/>
        <v>Average</v>
      </c>
    </row>
    <row r="24" spans="2:5">
      <c r="B24" t="str">
        <f ca="1"/>
        <v>Dennison Crosswaite</v>
      </c>
      <c r="C24" t="str">
        <f ca="1"/>
        <v>Website</v>
      </c>
      <c r="D24">
        <f ca="1"/>
        <v>90700</v>
      </c>
      <c r="E24" t="str">
        <f ca="1"/>
        <v>Above average</v>
      </c>
    </row>
    <row r="25" spans="2:5">
      <c r="B25" t="str">
        <f ca="1"/>
        <v>Karuna Pashupathy</v>
      </c>
      <c r="C25" t="str">
        <f ca="1"/>
        <v>Website</v>
      </c>
      <c r="D25">
        <f ca="1"/>
        <v>90700</v>
      </c>
      <c r="E25" t="str">
        <f ca="1"/>
        <v>Above average</v>
      </c>
    </row>
    <row r="26" spans="2:5">
      <c r="B26" t="str">
        <f ca="1"/>
        <v>Ches Bonnell</v>
      </c>
      <c r="C26" t="str">
        <f ca="1"/>
        <v>Website</v>
      </c>
      <c r="D26">
        <f ca="1"/>
        <v>88050</v>
      </c>
      <c r="E26" t="str">
        <f ca="1"/>
        <v>Poor</v>
      </c>
    </row>
    <row r="27" spans="2:5">
      <c r="B27" t="str">
        <f ca="1"/>
        <v>Gangadutt Ragha</v>
      </c>
      <c r="C27" t="str">
        <f ca="1"/>
        <v>Website</v>
      </c>
      <c r="D27">
        <f ca="1"/>
        <v>88050</v>
      </c>
      <c r="E27" t="str">
        <f ca="1"/>
        <v>Poor</v>
      </c>
    </row>
    <row r="28" spans="2:5">
      <c r="B28" t="str">
        <f ca="1"/>
        <v>Merrilee Plenty</v>
      </c>
      <c r="C28" t="str">
        <f ca="1"/>
        <v>Website</v>
      </c>
      <c r="D28">
        <f ca="1"/>
        <v>87620</v>
      </c>
      <c r="E28" t="str">
        <f ca="1"/>
        <v>Average</v>
      </c>
    </row>
    <row r="29" spans="2:5">
      <c r="B29" t="str">
        <f ca="1"/>
        <v>Godavari Veena</v>
      </c>
      <c r="C29" t="str">
        <f ca="1"/>
        <v>Website</v>
      </c>
      <c r="D29">
        <f ca="1"/>
        <v>87620</v>
      </c>
      <c r="E29" t="str">
        <f ca="1"/>
        <v>Average</v>
      </c>
    </row>
    <row r="30" spans="2:5">
      <c r="B30" t="str">
        <f ca="1"/>
        <v>Agnes Collicott</v>
      </c>
      <c r="C30" t="str">
        <f ca="1"/>
        <v>Website</v>
      </c>
      <c r="D30">
        <f ca="1"/>
        <v>83750</v>
      </c>
      <c r="E30" t="str">
        <f ca="1"/>
        <v>Average</v>
      </c>
    </row>
    <row r="31" spans="2:5">
      <c r="B31" t="str">
        <f ca="1"/>
        <v>Kunja Prashanta Vibha</v>
      </c>
      <c r="C31" t="str">
        <f ca="1"/>
        <v>Website</v>
      </c>
      <c r="D31">
        <f ca="1"/>
        <v>83750</v>
      </c>
      <c r="E31" t="str">
        <f ca="1"/>
        <v>Average</v>
      </c>
    </row>
    <row r="32" spans="2:5">
      <c r="B32" t="str">
        <f ca="1"/>
        <v>Van Tuxwell</v>
      </c>
      <c r="C32" t="str">
        <f ca="1"/>
        <v>Website</v>
      </c>
      <c r="D32">
        <f ca="1"/>
        <v>80700</v>
      </c>
      <c r="E32" t="str">
        <f ca="1"/>
        <v>Above average</v>
      </c>
    </row>
    <row r="33" spans="2:5">
      <c r="B33" t="str">
        <f ca="1"/>
        <v>Bhuvan Pals</v>
      </c>
      <c r="C33" t="str">
        <f ca="1"/>
        <v>Website</v>
      </c>
      <c r="D33">
        <f ca="1"/>
        <v>80700</v>
      </c>
      <c r="E33" t="str">
        <f ca="1"/>
        <v>Above average</v>
      </c>
    </row>
    <row r="34" spans="2:5">
      <c r="B34" t="str">
        <f ca="1"/>
        <v>Camilla Castle</v>
      </c>
      <c r="C34" t="str">
        <f ca="1"/>
        <v>Website</v>
      </c>
      <c r="D34">
        <f ca="1"/>
        <v>75480</v>
      </c>
      <c r="E34" t="str">
        <f ca="1"/>
        <v>Very poor</v>
      </c>
    </row>
    <row r="35" spans="2:5">
      <c r="B35" t="str">
        <f ca="1"/>
        <v>Ayog Chakrabarti</v>
      </c>
      <c r="C35" t="str">
        <f ca="1"/>
        <v>Website</v>
      </c>
      <c r="D35">
        <f ca="1"/>
        <v>75480</v>
      </c>
      <c r="E35" t="str">
        <f ca="1"/>
        <v>Very poor</v>
      </c>
    </row>
    <row r="36" spans="2:5">
      <c r="B36" t="str">
        <f ca="1"/>
        <v>Elia Cockton</v>
      </c>
      <c r="C36" t="str">
        <f ca="1"/>
        <v>Website</v>
      </c>
      <c r="D36">
        <f ca="1"/>
        <v>75280</v>
      </c>
      <c r="E36" t="str">
        <f ca="1"/>
        <v>Average</v>
      </c>
    </row>
    <row r="37" spans="2:5">
      <c r="B37" t="str">
        <f ca="1"/>
        <v>Hemavati Muthiah</v>
      </c>
      <c r="C37" t="str">
        <f ca="1"/>
        <v>Website</v>
      </c>
      <c r="D37">
        <f ca="1"/>
        <v>75280</v>
      </c>
      <c r="E37" t="str">
        <f ca="1"/>
        <v>Average</v>
      </c>
    </row>
    <row r="38" spans="2:5">
      <c r="B38" t="str">
        <f ca="1"/>
        <v>Myer McCory</v>
      </c>
      <c r="C38" t="str">
        <f ca="1"/>
        <v>Website</v>
      </c>
      <c r="D38">
        <f ca="1"/>
        <v>69710</v>
      </c>
      <c r="E38" t="str">
        <f ca="1"/>
        <v>Average</v>
      </c>
    </row>
    <row r="39" spans="2:5">
      <c r="B39" t="str">
        <f ca="1"/>
        <v>Shekhar Eswara</v>
      </c>
      <c r="C39" t="str">
        <f ca="1"/>
        <v>Website</v>
      </c>
      <c r="D39">
        <f ca="1"/>
        <v>69710</v>
      </c>
      <c r="E39" t="str">
        <f ca="1"/>
        <v>Average</v>
      </c>
    </row>
    <row r="40" spans="2:5">
      <c r="B40" t="str">
        <f ca="1"/>
        <v>Andria Kimpton</v>
      </c>
      <c r="C40" t="str">
        <f ca="1"/>
        <v>Website</v>
      </c>
      <c r="D40">
        <f ca="1"/>
        <v>69120</v>
      </c>
      <c r="E40" t="str">
        <f ca="1"/>
        <v>Average</v>
      </c>
    </row>
    <row r="41" spans="2:5">
      <c r="B41" t="str">
        <f ca="1"/>
        <v>Rameshwari Chikodi</v>
      </c>
      <c r="C41" t="str">
        <f ca="1"/>
        <v>Website</v>
      </c>
      <c r="D41">
        <f ca="1"/>
        <v>69120</v>
      </c>
      <c r="E41" t="str">
        <f ca="1"/>
        <v>Average</v>
      </c>
    </row>
    <row r="42" spans="2:5">
      <c r="B42" t="str">
        <f ca="1"/>
        <v>Murry Dryburgh</v>
      </c>
      <c r="C42" t="str">
        <f ca="1"/>
        <v>Website</v>
      </c>
      <c r="D42">
        <f ca="1"/>
        <v>69070</v>
      </c>
      <c r="E42" t="str">
        <f ca="1"/>
        <v>Average</v>
      </c>
    </row>
    <row r="43" spans="2:5">
      <c r="B43" t="str">
        <f ca="1"/>
        <v>Jaishree Atasi Yavatkar</v>
      </c>
      <c r="C43" t="str">
        <f ca="1"/>
        <v>Website</v>
      </c>
      <c r="D43">
        <f ca="1"/>
        <v>69070</v>
      </c>
      <c r="E43" t="str">
        <f ca="1"/>
        <v>Average</v>
      </c>
    </row>
    <row r="44" spans="2:5">
      <c r="B44" t="str">
        <f ca="1"/>
        <v>Vic Radolf</v>
      </c>
      <c r="C44" t="str">
        <f ca="1"/>
        <v>Website</v>
      </c>
      <c r="D44">
        <f ca="1"/>
        <v>62780</v>
      </c>
      <c r="E44" t="str">
        <f ca="1"/>
        <v>Average</v>
      </c>
    </row>
    <row r="45" spans="2:5">
      <c r="B45" t="str">
        <f ca="1"/>
        <v>Fullara Sushanti Mokate</v>
      </c>
      <c r="C45" t="str">
        <f ca="1"/>
        <v>Website</v>
      </c>
      <c r="D45">
        <f ca="1"/>
        <v>62780</v>
      </c>
      <c r="E45" t="str">
        <f ca="1"/>
        <v>Average</v>
      </c>
    </row>
    <row r="46" spans="2:5">
      <c r="B46" t="str">
        <f ca="1"/>
        <v>Brien Boise</v>
      </c>
      <c r="C46" t="str">
        <f ca="1"/>
        <v>Website</v>
      </c>
      <c r="D46">
        <f ca="1"/>
        <v>58100</v>
      </c>
      <c r="E46" t="str">
        <f ca="1"/>
        <v>Average</v>
      </c>
    </row>
    <row r="47" spans="2:5">
      <c r="B47" t="str">
        <f ca="1"/>
        <v>Pratigya Rema</v>
      </c>
      <c r="C47" t="str">
        <f ca="1"/>
        <v>Website</v>
      </c>
      <c r="D47">
        <f ca="1"/>
        <v>58100</v>
      </c>
      <c r="E47" t="str">
        <f ca="1"/>
        <v>Average</v>
      </c>
    </row>
    <row r="48" spans="2:5">
      <c r="B48" t="str">
        <f ca="1"/>
        <v>William Reeveley</v>
      </c>
      <c r="C48" t="str">
        <f ca="1"/>
        <v>Website</v>
      </c>
      <c r="D48">
        <f ca="1"/>
        <v>53870</v>
      </c>
      <c r="E48" t="str">
        <f ca="1"/>
        <v>Average</v>
      </c>
    </row>
    <row r="49" spans="2:5">
      <c r="B49" t="str">
        <f ca="1"/>
        <v>Pragya Nilufar</v>
      </c>
      <c r="C49" t="str">
        <f ca="1"/>
        <v>Website</v>
      </c>
      <c r="D49">
        <f ca="1"/>
        <v>53870</v>
      </c>
      <c r="E49" t="str">
        <f ca="1"/>
        <v>Average</v>
      </c>
    </row>
    <row r="50" spans="2:5">
      <c r="B50" t="str">
        <f ca="1"/>
        <v>Gunar Cockshoot</v>
      </c>
      <c r="C50" t="str">
        <f ca="1"/>
        <v>Website</v>
      </c>
      <c r="D50">
        <f ca="1"/>
        <v>48950</v>
      </c>
      <c r="E50" t="str">
        <f ca="1"/>
        <v>Average</v>
      </c>
    </row>
    <row r="51" spans="2:5">
      <c r="B51" t="str">
        <f ca="1"/>
        <v>Amal Nimesh</v>
      </c>
      <c r="C51" t="str">
        <f ca="1"/>
        <v>Website</v>
      </c>
      <c r="D51">
        <f ca="1"/>
        <v>48950</v>
      </c>
      <c r="E51" t="str">
        <f ca="1"/>
        <v>Average</v>
      </c>
    </row>
    <row r="52" spans="2:5">
      <c r="B52" t="str">
        <f ca="1"/>
        <v>Kassi Jonson</v>
      </c>
      <c r="C52" t="str">
        <f ca="1"/>
        <v>Website</v>
      </c>
      <c r="D52">
        <f ca="1"/>
        <v>43840</v>
      </c>
      <c r="E52" t="str">
        <f ca="1"/>
        <v>Above average</v>
      </c>
    </row>
    <row r="53" spans="2:5">
      <c r="B53" t="str">
        <f ca="1"/>
        <v>Yagna Sujeev</v>
      </c>
      <c r="C53" t="str">
        <f ca="1"/>
        <v>Website</v>
      </c>
      <c r="D53">
        <f ca="1"/>
        <v>43840</v>
      </c>
      <c r="E53" t="str">
        <f ca="1"/>
        <v>Above average</v>
      </c>
    </row>
    <row r="54" spans="2:5">
      <c r="B54" t="str">
        <f ca="1"/>
        <v>Dotty Strutley</v>
      </c>
      <c r="C54" t="str">
        <f ca="1"/>
        <v>Website</v>
      </c>
      <c r="D54">
        <f ca="1"/>
        <v>41980</v>
      </c>
      <c r="E54" t="str">
        <f ca="1"/>
        <v>Average</v>
      </c>
    </row>
    <row r="55" spans="2:5">
      <c r="B55" t="str">
        <f ca="1"/>
        <v>Jagajeet Viraj</v>
      </c>
      <c r="C55" t="str">
        <f ca="1"/>
        <v>Website</v>
      </c>
      <c r="D55">
        <f ca="1"/>
        <v>41980</v>
      </c>
      <c r="E55" t="str">
        <f ca="1"/>
        <v>Average</v>
      </c>
    </row>
    <row r="56" spans="2:5">
      <c r="B56" t="str">
        <f ca="1"/>
        <v>Niall Selesnick</v>
      </c>
      <c r="C56" t="str">
        <f ca="1"/>
        <v>Website</v>
      </c>
      <c r="D56">
        <f ca="1"/>
        <v>34980</v>
      </c>
      <c r="E56" t="str">
        <f ca="1"/>
        <v>Average</v>
      </c>
    </row>
    <row r="57" spans="2:5">
      <c r="B57" t="str">
        <f ca="1"/>
        <v>Suchira Bhanupriya Tapti</v>
      </c>
      <c r="C57" t="str">
        <f ca="1"/>
        <v>Website</v>
      </c>
      <c r="D57">
        <f ca="1"/>
        <v>34980</v>
      </c>
      <c r="E57" t="str">
        <f ca="1"/>
        <v>Average</v>
      </c>
    </row>
    <row r="58" spans="2:5">
      <c r="B58" t="str">
        <f ca="1"/>
        <v>Gretchen Callow</v>
      </c>
      <c r="C58" t="str">
        <f ca="1"/>
        <v>Website</v>
      </c>
      <c r="D58">
        <f ca="1"/>
        <v>33920</v>
      </c>
      <c r="E58" t="str">
        <f ca="1"/>
        <v>Average</v>
      </c>
    </row>
    <row r="59" spans="2:5">
      <c r="B59" t="str">
        <f ca="1"/>
        <v>Shubhra Potla</v>
      </c>
      <c r="C59" t="str">
        <f ca="1"/>
        <v>Website</v>
      </c>
      <c r="D59">
        <f ca="1"/>
        <v>33920</v>
      </c>
      <c r="E59" t="str">
        <f ca="1"/>
        <v>Average</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57A4E-EFC2-4318-B715-CF1A62D3DD2C}">
  <sheetPr>
    <tabColor rgb="FF7030A0"/>
  </sheetPr>
  <dimension ref="B2:D8"/>
  <sheetViews>
    <sheetView workbookViewId="0">
      <selection activeCell="E6" sqref="E6"/>
    </sheetView>
  </sheetViews>
  <sheetFormatPr defaultRowHeight="15"/>
  <cols>
    <col min="2" max="2" width="14.28515625" bestFit="1" customWidth="1"/>
    <col min="3" max="3" width="14.42578125" bestFit="1" customWidth="1"/>
    <col min="4" max="4" width="16.42578125" bestFit="1" customWidth="1"/>
  </cols>
  <sheetData>
    <row r="2" spans="2:4">
      <c r="B2" s="17" t="s">
        <v>226</v>
      </c>
      <c r="C2" t="s">
        <v>227</v>
      </c>
      <c r="D2" t="s">
        <v>229</v>
      </c>
    </row>
    <row r="3" spans="2:4">
      <c r="B3" s="18" t="s">
        <v>10</v>
      </c>
      <c r="C3">
        <v>4</v>
      </c>
      <c r="D3" s="20">
        <v>92080</v>
      </c>
    </row>
    <row r="4" spans="2:4">
      <c r="B4" s="18" t="s">
        <v>13</v>
      </c>
      <c r="C4">
        <v>20</v>
      </c>
      <c r="D4" s="20">
        <v>75933</v>
      </c>
    </row>
    <row r="5" spans="2:4">
      <c r="B5" s="18" t="s">
        <v>16</v>
      </c>
      <c r="C5">
        <v>138</v>
      </c>
      <c r="D5" s="20">
        <v>77058.55072463768</v>
      </c>
    </row>
    <row r="6" spans="2:4">
      <c r="B6" s="18" t="s">
        <v>24</v>
      </c>
      <c r="C6">
        <v>16</v>
      </c>
      <c r="D6" s="20">
        <v>78115</v>
      </c>
    </row>
    <row r="7" spans="2:4">
      <c r="B7" s="18" t="s">
        <v>42</v>
      </c>
      <c r="C7">
        <v>6</v>
      </c>
      <c r="D7" s="20">
        <v>77423.333333333328</v>
      </c>
    </row>
    <row r="8" spans="2:4">
      <c r="B8" s="18" t="s">
        <v>225</v>
      </c>
      <c r="C8">
        <v>184</v>
      </c>
      <c r="D8" s="20">
        <v>77366.521739130432</v>
      </c>
    </row>
  </sheetData>
  <conditionalFormatting pivot="1" sqref="D3:D7">
    <cfRule type="dataBar" priority="1">
      <dataBar>
        <cfvo type="min"/>
        <cfvo type="max"/>
        <color rgb="FF638EC6"/>
      </dataBar>
      <extLst>
        <ext xmlns:x14="http://schemas.microsoft.com/office/spreadsheetml/2009/9/main" uri="{B025F937-C7B1-47D3-B67F-A62EFF666E3E}">
          <x14:id>{4289E45C-CC76-4DB1-B8FB-CB3944334B4E}</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4289E45C-CC76-4DB1-B8FB-CB3944334B4E}">
            <x14:dataBar minLength="0" maxLength="100" gradient="0">
              <x14:cfvo type="autoMin"/>
              <x14:cfvo type="autoMax"/>
              <x14:negativeFillColor rgb="FFFF0000"/>
              <x14:axisColor rgb="FF000000"/>
            </x14:dataBar>
          </x14:cfRule>
          <xm:sqref>D3:D7</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244A1-4521-4C95-9327-BABE8F76A66D}">
  <sheetPr>
    <tabColor rgb="FF00B0F0"/>
  </sheetPr>
  <dimension ref="B2:C6"/>
  <sheetViews>
    <sheetView workbookViewId="0">
      <selection activeCell="C4" sqref="C4"/>
    </sheetView>
  </sheetViews>
  <sheetFormatPr defaultRowHeight="15"/>
  <cols>
    <col min="2" max="2" width="14.28515625" bestFit="1" customWidth="1"/>
  </cols>
  <sheetData>
    <row r="2" spans="2:3">
      <c r="B2" s="25" t="s">
        <v>10</v>
      </c>
      <c r="C2" s="26">
        <v>5</v>
      </c>
    </row>
    <row r="3" spans="2:3">
      <c r="B3" s="25" t="s">
        <v>13</v>
      </c>
      <c r="C3" s="26">
        <v>4</v>
      </c>
    </row>
    <row r="4" spans="2:3">
      <c r="B4" s="25" t="s">
        <v>16</v>
      </c>
      <c r="C4" s="26">
        <v>3</v>
      </c>
    </row>
    <row r="5" spans="2:3">
      <c r="B5" s="25" t="s">
        <v>24</v>
      </c>
      <c r="C5" s="26">
        <v>2</v>
      </c>
    </row>
    <row r="6" spans="2:3">
      <c r="B6" s="25" t="s">
        <v>42</v>
      </c>
      <c r="C6" s="26">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81BD1-B9F1-48F7-BB78-B45F14BD74DF}">
  <sheetPr>
    <tabColor rgb="FFC00000"/>
  </sheetPr>
  <dimension ref="B1:I18"/>
  <sheetViews>
    <sheetView showGridLines="0" tabSelected="1" workbookViewId="0">
      <selection activeCell="G1" sqref="G1:I1"/>
    </sheetView>
  </sheetViews>
  <sheetFormatPr defaultRowHeight="15"/>
  <cols>
    <col min="2" max="2" width="16.85546875" customWidth="1"/>
    <col min="3" max="3" width="17.85546875" customWidth="1"/>
    <col min="4" max="4" width="17.42578125" customWidth="1"/>
    <col min="7" max="7" width="16.5703125" customWidth="1"/>
    <col min="8" max="8" width="15.85546875" customWidth="1"/>
    <col min="9" max="9" width="17" customWidth="1"/>
  </cols>
  <sheetData>
    <row r="1" spans="2:9" ht="21">
      <c r="B1" s="44" t="s">
        <v>256</v>
      </c>
      <c r="C1" s="44"/>
      <c r="D1" s="44"/>
      <c r="G1" s="44" t="s">
        <v>257</v>
      </c>
      <c r="H1" s="44"/>
      <c r="I1" s="44"/>
    </row>
    <row r="2" spans="2:9" ht="64.5" customHeight="1">
      <c r="B2" s="36">
        <f>COUNTIF(staff[country],"NZ")</f>
        <v>93</v>
      </c>
      <c r="C2" s="38">
        <f>COUNTIFS(staff[country],"NZ",staff[Gender],"Female")/B2</f>
        <v>0.46236559139784944</v>
      </c>
      <c r="D2" s="40">
        <f>AVERAGEIFS(staff[Salary],staff[country],"NZ",staff[Gender],"Female")</f>
        <v>78284.186046511633</v>
      </c>
      <c r="G2" s="37">
        <f>COUNTIF(staff[country],"india")</f>
        <v>92</v>
      </c>
      <c r="H2" s="39">
        <f>COUNTIFS(staff[country],"india",staff[Gender],"Female")/G2</f>
        <v>0.46739130434782611</v>
      </c>
      <c r="I2" s="41">
        <f>AVERAGEIFS(staff[Salary],staff[country],"india",staff[Gender],"Female")</f>
        <v>78284.186046511633</v>
      </c>
    </row>
    <row r="4" spans="2:9" ht="27.75" customHeight="1">
      <c r="C4" s="43" t="s">
        <v>255</v>
      </c>
      <c r="D4" s="43"/>
      <c r="E4" s="43"/>
      <c r="F4" s="43"/>
      <c r="G4" s="43"/>
      <c r="H4" s="43"/>
    </row>
    <row r="6" spans="2:9">
      <c r="B6" s="27"/>
      <c r="C6" s="28"/>
      <c r="D6" s="29"/>
      <c r="G6" s="27"/>
      <c r="H6" s="28"/>
      <c r="I6" s="29"/>
    </row>
    <row r="7" spans="2:9">
      <c r="B7" s="30"/>
      <c r="C7" s="31"/>
      <c r="D7" s="32"/>
      <c r="G7" s="30"/>
      <c r="H7" s="31"/>
      <c r="I7" s="32"/>
    </row>
    <row r="8" spans="2:9">
      <c r="B8" s="30"/>
      <c r="C8" s="31"/>
      <c r="D8" s="32"/>
      <c r="G8" s="30"/>
      <c r="H8" s="31"/>
      <c r="I8" s="32"/>
    </row>
    <row r="9" spans="2:9">
      <c r="B9" s="30"/>
      <c r="C9" s="31"/>
      <c r="D9" s="32"/>
      <c r="G9" s="30"/>
      <c r="H9" s="31"/>
      <c r="I9" s="32"/>
    </row>
    <row r="10" spans="2:9">
      <c r="B10" s="30"/>
      <c r="C10" s="31"/>
      <c r="D10" s="32"/>
      <c r="G10" s="30"/>
      <c r="H10" s="31"/>
      <c r="I10" s="32"/>
    </row>
    <row r="11" spans="2:9">
      <c r="B11" s="30"/>
      <c r="C11" s="31"/>
      <c r="D11" s="32"/>
      <c r="G11" s="30"/>
      <c r="H11" s="31"/>
      <c r="I11" s="32"/>
    </row>
    <row r="12" spans="2:9">
      <c r="B12" s="30"/>
      <c r="C12" s="31"/>
      <c r="D12" s="32"/>
      <c r="G12" s="30"/>
      <c r="H12" s="31"/>
      <c r="I12" s="32"/>
    </row>
    <row r="13" spans="2:9">
      <c r="B13" s="30"/>
      <c r="C13" s="31"/>
      <c r="D13" s="32"/>
      <c r="G13" s="30"/>
      <c r="H13" s="31"/>
      <c r="I13" s="32"/>
    </row>
    <row r="14" spans="2:9">
      <c r="B14" s="30"/>
      <c r="C14" s="31"/>
      <c r="D14" s="32"/>
      <c r="G14" s="30"/>
      <c r="H14" s="31"/>
      <c r="I14" s="32"/>
    </row>
    <row r="15" spans="2:9">
      <c r="B15" s="30"/>
      <c r="C15" s="31"/>
      <c r="D15" s="32"/>
      <c r="G15" s="30"/>
      <c r="H15" s="31"/>
      <c r="I15" s="32"/>
    </row>
    <row r="16" spans="2:9">
      <c r="B16" s="30"/>
      <c r="C16" s="31"/>
      <c r="D16" s="32"/>
      <c r="G16" s="30"/>
      <c r="H16" s="31"/>
      <c r="I16" s="32"/>
    </row>
    <row r="17" spans="2:9">
      <c r="B17" s="30"/>
      <c r="C17" s="31"/>
      <c r="D17" s="32"/>
      <c r="G17" s="30"/>
      <c r="H17" s="31"/>
      <c r="I17" s="32"/>
    </row>
    <row r="18" spans="2:9">
      <c r="B18" s="33"/>
      <c r="C18" s="34"/>
      <c r="D18" s="35"/>
      <c r="G18" s="33"/>
      <c r="H18" s="34"/>
      <c r="I18" s="35"/>
    </row>
  </sheetData>
  <mergeCells count="3">
    <mergeCell ref="C4:H4"/>
    <mergeCell ref="B1:D1"/>
    <mergeCell ref="G1:I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FAE-CA8D-40A1-9D27-D3D47BE2EC4C}">
  <dimension ref="B1:F10"/>
  <sheetViews>
    <sheetView topLeftCell="A7" workbookViewId="0">
      <selection activeCell="G9" sqref="G9"/>
    </sheetView>
  </sheetViews>
  <sheetFormatPr defaultRowHeight="15"/>
  <cols>
    <col min="2" max="2" width="16.42578125" bestFit="1" customWidth="1"/>
    <col min="3" max="3" width="14.42578125" bestFit="1" customWidth="1"/>
    <col min="4" max="4" width="15.85546875" bestFit="1" customWidth="1"/>
    <col min="5" max="5" width="16.42578125" bestFit="1" customWidth="1"/>
    <col min="6" max="6" width="14.42578125" bestFit="1" customWidth="1"/>
  </cols>
  <sheetData>
    <row r="1" spans="2:6">
      <c r="B1" s="17" t="s">
        <v>204</v>
      </c>
      <c r="C1" t="s" vm="2">
        <v>205</v>
      </c>
      <c r="E1" s="17" t="s">
        <v>204</v>
      </c>
      <c r="F1" t="s" vm="3">
        <v>207</v>
      </c>
    </row>
    <row r="3" spans="2:6">
      <c r="B3" s="17" t="s">
        <v>226</v>
      </c>
      <c r="C3" t="s">
        <v>227</v>
      </c>
      <c r="E3" s="17" t="s">
        <v>226</v>
      </c>
      <c r="F3" t="s">
        <v>227</v>
      </c>
    </row>
    <row r="4" spans="2:6">
      <c r="B4" s="18" t="s">
        <v>8</v>
      </c>
      <c r="C4" s="42"/>
      <c r="E4" s="18" t="s">
        <v>8</v>
      </c>
      <c r="F4" s="42"/>
    </row>
    <row r="5" spans="2:6">
      <c r="B5" s="19" t="s">
        <v>12</v>
      </c>
      <c r="C5" s="42">
        <v>14</v>
      </c>
      <c r="E5" s="19" t="s">
        <v>12</v>
      </c>
      <c r="F5" s="42">
        <v>14</v>
      </c>
    </row>
    <row r="6" spans="2:6">
      <c r="B6" s="19" t="s">
        <v>9</v>
      </c>
      <c r="C6" s="42">
        <v>10</v>
      </c>
      <c r="E6" s="19" t="s">
        <v>9</v>
      </c>
      <c r="F6" s="42">
        <v>10</v>
      </c>
    </row>
    <row r="7" spans="2:6">
      <c r="B7" s="19" t="s">
        <v>21</v>
      </c>
      <c r="C7" s="42">
        <v>9</v>
      </c>
      <c r="E7" s="19" t="s">
        <v>21</v>
      </c>
      <c r="F7" s="42">
        <v>9</v>
      </c>
    </row>
    <row r="8" spans="2:6">
      <c r="B8" s="19" t="s">
        <v>19</v>
      </c>
      <c r="C8" s="42">
        <v>7</v>
      </c>
      <c r="E8" s="19" t="s">
        <v>19</v>
      </c>
      <c r="F8" s="42">
        <v>7</v>
      </c>
    </row>
    <row r="9" spans="2:6">
      <c r="B9" s="19" t="s">
        <v>56</v>
      </c>
      <c r="C9" s="42">
        <v>3</v>
      </c>
      <c r="E9" s="19" t="s">
        <v>56</v>
      </c>
      <c r="F9" s="42">
        <v>3</v>
      </c>
    </row>
    <row r="10" spans="2:6">
      <c r="B10" s="18" t="s">
        <v>225</v>
      </c>
      <c r="C10" s="21">
        <v>43</v>
      </c>
      <c r="E10" s="18" t="s">
        <v>225</v>
      </c>
      <c r="F10" s="21">
        <v>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AA37E1C-1C09-4CCD-9A00-4C4C359D5F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India Staff</vt:lpstr>
      <vt:lpstr>pivot</vt:lpstr>
      <vt:lpstr>all staff</vt:lpstr>
      <vt:lpstr>people vs grow</vt:lpstr>
      <vt:lpstr>chart</vt:lpstr>
      <vt:lpstr>finding information</vt:lpstr>
      <vt:lpstr>salary vs rating</vt:lpstr>
      <vt:lpstr>Sheet6</vt:lpstr>
      <vt:lpstr>Card</vt:lpstr>
      <vt:lpstr>pivot2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bakr ahmed</cp:lastModifiedBy>
  <dcterms:created xsi:type="dcterms:W3CDTF">2021-03-14T20:21:32Z</dcterms:created>
  <dcterms:modified xsi:type="dcterms:W3CDTF">2024-10-08T13:25:24Z</dcterms:modified>
</cp:coreProperties>
</file>