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activeTab="2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52511"/>
  <fileRecoveryPr autoRecover="0"/>
</workbook>
</file>

<file path=xl/calcChain.xml><?xml version="1.0" encoding="utf-8"?>
<calcChain xmlns="http://schemas.openxmlformats.org/spreadsheetml/2006/main">
  <c r="AN27" i="103" l="1"/>
  <c r="W11" i="103"/>
  <c r="BK39" i="103" s="1"/>
  <c r="AN26" i="103"/>
  <c r="W8" i="103"/>
  <c r="BO36" i="103" s="1"/>
  <c r="EK17" i="106"/>
  <c r="ED22" i="106"/>
  <c r="EB6" i="106" s="1"/>
  <c r="DY22" i="106"/>
  <c r="EB5" i="106"/>
  <c r="EB7" i="106" s="1"/>
  <c r="EH4" i="106"/>
  <c r="EV27" i="106" l="1"/>
  <c r="ET6" i="106" s="1"/>
  <c r="EQ27" i="106"/>
  <c r="ET5" i="106" s="1"/>
  <c r="ET7" i="106" l="1"/>
  <c r="FC3" i="106" s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AQ21" i="106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AQ16" i="106"/>
  <c r="R8" i="106"/>
  <c r="S9" i="106" s="1"/>
  <c r="BL9" i="106" s="1"/>
  <c r="R5" i="106"/>
  <c r="CV39" i="106" s="1"/>
  <c r="CX39" i="106" s="1"/>
  <c r="CX40" i="106" s="1"/>
  <c r="CX41" i="106" s="1"/>
  <c r="DK15" i="106" l="1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M15" i="106"/>
  <c r="DM16" i="106" s="1"/>
  <c r="X7" i="106" s="1"/>
  <c r="AN17" i="106" s="1"/>
  <c r="EY14" i="106" s="1"/>
  <c r="DN16" i="106"/>
  <c r="W9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EY13" i="106" s="1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EY12" i="106" s="1"/>
  <c r="M17" i="106"/>
  <c r="BC16" i="106" s="1"/>
  <c r="AN14" i="106" l="1"/>
  <c r="EY11" i="106" s="1"/>
  <c r="M14" i="106"/>
  <c r="BC29" i="106" s="1"/>
  <c r="AV28" i="106"/>
  <c r="AM13" i="106"/>
  <c r="EX10" i="106" s="1"/>
  <c r="N12" i="106"/>
  <c r="AU27" i="106"/>
  <c r="N9" i="106"/>
  <c r="CS12" i="106" s="1"/>
  <c r="AU26" i="106"/>
  <c r="N6" i="106"/>
  <c r="CS27" i="106" s="1"/>
  <c r="AR13" i="106" l="1"/>
  <c r="AR14" i="106"/>
  <c r="AN12" i="106"/>
  <c r="EY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I14" i="106" l="1"/>
  <c r="BD27" i="106" s="1"/>
  <c r="CR26" i="106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X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X7" i="106" s="1"/>
  <c r="D15" i="106"/>
  <c r="BT38" i="106" s="1"/>
  <c r="AN9" i="106" l="1"/>
  <c r="EY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6" i="104"/>
  <c r="H24" i="104"/>
  <c r="D17" i="104"/>
  <c r="H23" i="104" s="1"/>
  <c r="I23" i="104" s="1"/>
  <c r="EY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N8" i="103" s="1"/>
  <c r="DM7" i="103"/>
  <c r="DO6" i="103"/>
  <c r="DO8" i="103" s="1"/>
  <c r="DN6" i="103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AY16" i="103"/>
  <c r="R26" i="103"/>
  <c r="AN22" i="103"/>
  <c r="EG19" i="106" s="1"/>
  <c r="R23" i="103"/>
  <c r="BS24" i="103" s="1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R16" i="103"/>
  <c r="AU29" i="103"/>
  <c r="S6" i="103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/>
  <c r="DS23" i="106" s="1"/>
  <c r="DT23" i="106" s="1"/>
  <c r="DU23" i="106" s="1"/>
  <c r="DS24" i="106" s="1"/>
  <c r="DT24" i="106" s="1"/>
  <c r="DU24" i="106" s="1"/>
  <c r="DS25" i="106"/>
  <c r="DT25" i="106" s="1"/>
  <c r="DU25" i="106"/>
  <c r="AR13" i="103"/>
  <c r="I30" i="103"/>
  <c r="BD27" i="103" s="1"/>
  <c r="AU23" i="103"/>
  <c r="I23" i="103"/>
  <c r="CW8" i="103" s="1"/>
  <c r="DS26" i="106" l="1"/>
  <c r="DT26" i="106" s="1"/>
  <c r="DU26" i="106" s="1"/>
  <c r="AR12" i="103"/>
  <c r="CS8" i="103"/>
  <c r="AR11" i="103"/>
  <c r="AU22" i="103"/>
  <c r="DS27" i="106" l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 s="1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CB6" i="103" l="1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G21" i="104"/>
  <c r="I21" i="104" s="1"/>
  <c r="BI14" i="106" s="1"/>
  <c r="BI15" i="106" s="1"/>
  <c r="AK21" i="106" s="1"/>
  <c r="BX48" i="103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2" i="103"/>
  <c r="BY14" i="103" s="1"/>
  <c r="G12" i="104"/>
  <c r="I12" i="104" s="1"/>
  <c r="BA7" i="106" s="1"/>
  <c r="BA8" i="106" s="1"/>
  <c r="BA9" i="106" s="1"/>
  <c r="BA10" i="106" s="1"/>
  <c r="AK12" i="106" s="1"/>
  <c r="BX12" i="106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B30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31" i="103"/>
  <c r="G31" i="104"/>
  <c r="I31" i="104" s="1"/>
  <c r="BQ21" i="106" s="1"/>
  <c r="BQ22" i="106" s="1"/>
  <c r="BQ23" i="106" s="1"/>
  <c r="BQ24" i="106" s="1"/>
  <c r="AK30" i="106" s="1"/>
  <c r="BX31" i="106" s="1"/>
  <c r="B31" i="107" s="1"/>
  <c r="B36" i="107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28" i="106" s="1"/>
  <c r="BX33" i="103"/>
  <c r="G33" i="104"/>
  <c r="I9" i="104"/>
  <c r="DS36" i="106"/>
  <c r="DT36" i="106" s="1"/>
  <c r="DU36" i="106" s="1"/>
  <c r="BX35" i="103"/>
  <c r="BY38" i="103" s="1"/>
  <c r="BX36" i="103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AK22" i="103"/>
  <c r="BX8" i="103"/>
  <c r="CB4" i="103"/>
  <c r="AK24" i="103"/>
  <c r="BX71" i="106" l="1"/>
  <c r="BX48" i="106"/>
  <c r="B48" i="107" s="1"/>
  <c r="BX22" i="103"/>
  <c r="G25" i="104"/>
  <c r="I25" i="104" s="1"/>
  <c r="BI39" i="106" s="1"/>
  <c r="BI40" i="106" s="1"/>
  <c r="AK24" i="106" s="1"/>
  <c r="BX22" i="106" s="1"/>
  <c r="B22" i="107" s="1"/>
  <c r="B35" i="107"/>
  <c r="AL2" i="106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B28" i="107"/>
  <c r="F4" i="107"/>
  <c r="G11" i="107" s="1"/>
  <c r="G13" i="107" s="1"/>
  <c r="CC11" i="106"/>
  <c r="CC13" i="106" s="1"/>
  <c r="B12" i="107"/>
  <c r="C14" i="107" s="1"/>
  <c r="BY14" i="106"/>
  <c r="C41" i="107"/>
  <c r="I33" i="104"/>
  <c r="AW14" i="106"/>
  <c r="AW15" i="106" s="1"/>
  <c r="AW16" i="106" s="1"/>
  <c r="AW17" i="106" s="1"/>
  <c r="AK9" i="106" s="1"/>
  <c r="DS37" i="106"/>
  <c r="DT37" i="106" s="1"/>
  <c r="DU37" i="106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EZ4" i="106"/>
  <c r="EZ5" i="106" s="1"/>
  <c r="EZ6" i="106" s="1"/>
  <c r="EZ7" i="106" s="1"/>
  <c r="EZ8" i="106" s="1"/>
  <c r="EZ9" i="106" s="1"/>
  <c r="EZ10" i="106" s="1"/>
  <c r="EZ11" i="106" s="1"/>
  <c r="EZ12" i="106" s="1"/>
  <c r="EZ13" i="106" s="1"/>
  <c r="EZ14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I8" i="104" l="1"/>
  <c r="G24" i="104"/>
  <c r="AK39" i="103"/>
  <c r="CC15" i="103"/>
  <c r="BX4" i="106"/>
  <c r="DS42" i="106"/>
  <c r="DT42" i="106" s="1"/>
  <c r="DU42" i="106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I24" i="104" l="1"/>
  <c r="G40" i="104"/>
  <c r="G39" i="104"/>
  <c r="AW7" i="106"/>
  <c r="AW8" i="106" s="1"/>
  <c r="AW9" i="106" s="1"/>
  <c r="AW10" i="106" s="1"/>
  <c r="AK8" i="106" s="1"/>
  <c r="I39" i="104"/>
  <c r="B4" i="107"/>
  <c r="DS43" i="106"/>
  <c r="DT43" i="106" s="1"/>
  <c r="DU43" i="106" s="1"/>
  <c r="BX70" i="103"/>
  <c r="BY72" i="103" s="1"/>
  <c r="BY73" i="103" s="1"/>
  <c r="BX7" i="106" l="1"/>
  <c r="AJ2" i="106"/>
  <c r="AK38" i="106"/>
  <c r="BI28" i="106"/>
  <c r="BI29" i="106" s="1"/>
  <c r="BI30" i="106" s="1"/>
  <c r="BI31" i="106" s="1"/>
  <c r="BI32" i="106" s="1"/>
  <c r="BI33" i="106" s="1"/>
  <c r="BI34" i="106" s="1"/>
  <c r="BI35" i="106" s="1"/>
  <c r="AK23" i="106" s="1"/>
  <c r="I40" i="104"/>
  <c r="DS44" i="106"/>
  <c r="DT44" i="106" s="1"/>
  <c r="DU44" i="106" s="1"/>
  <c r="BX21" i="106" l="1"/>
  <c r="AO2" i="106"/>
  <c r="AL3" i="106" s="1"/>
  <c r="CC15" i="106"/>
  <c r="AK39" i="106"/>
  <c r="B7" i="107"/>
  <c r="C10" i="107" s="1"/>
  <c r="C17" i="107" s="1"/>
  <c r="BY10" i="106"/>
  <c r="BY17" i="106" s="1"/>
  <c r="DS45" i="106"/>
  <c r="DT45" i="106" s="1"/>
  <c r="DU45" i="106" s="1"/>
  <c r="CC17" i="106" l="1"/>
  <c r="G15" i="107"/>
  <c r="G17" i="107" s="1"/>
  <c r="BY24" i="106"/>
  <c r="BY26" i="106" s="1"/>
  <c r="BY39" i="106" s="1"/>
  <c r="BY42" i="106" s="1"/>
  <c r="B21" i="107"/>
  <c r="C24" i="107" s="1"/>
  <c r="C26" i="107" s="1"/>
  <c r="C39" i="107" s="1"/>
  <c r="C42" i="107" s="1"/>
  <c r="DS46" i="106"/>
  <c r="DT46" i="106" s="1"/>
  <c r="DU46" i="106" s="1"/>
  <c r="B70" i="107" l="1"/>
  <c r="C72" i="107" s="1"/>
  <c r="C73" i="107" s="1"/>
  <c r="B47" i="107"/>
  <c r="C49" i="107" s="1"/>
  <c r="C50" i="107" s="1"/>
  <c r="BX47" i="106"/>
  <c r="BY49" i="106" s="1"/>
  <c r="BY50" i="106" s="1"/>
  <c r="BX70" i="106"/>
  <c r="BY72" i="106" s="1"/>
  <c r="BY73" i="106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<sst xmlns="http://schemas.openxmlformats.org/spreadsheetml/2006/main" count="1383" uniqueCount="185">
  <si>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</si>
  <si>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</si>
  <si>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</si>
  <si>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</si>
  <si>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</si>
  <si>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</si>
  <si>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</si>
  <si>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</si>
  <si>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</si>
  <si>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</si>
  <si>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</si>
  <si>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</si>
  <si>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</si>
  <si>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</si>
  <si>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</si>
  <si>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</si>
  <si>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</si>
  <si>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</si>
  <si>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</si>
  <si>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</si>
  <si>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</si>
  <si>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</si>
  <si>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</si>
  <si>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</si>
  <si>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</si>
  <si>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</si>
  <si>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</si>
  <si>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</si>
  <si>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</si>
  <si>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</si>
  <si>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</si>
  <si>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</si>
  <si>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</si>
  <si>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</si>
  <si>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</si>
  <si>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</si>
  <si>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</si>
  <si>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</si>
  <si>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</si>
  <si>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</si>
  <si>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</si>
  <si>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</si>
  <si>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</si>
  <si>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</si>
  <si>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</si>
  <si>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</si>
  <si>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</si>
  <si>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</si>
  <si>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</si>
  <si>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</si>
  <si>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</si>
  <si>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</si>
  <si>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</si>
  <si>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</si>
  <si>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</si>
  <si>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</si>
  <si>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</si>
  <si>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</si>
  <si>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</si>
  <si>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</si>
  <si>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</si>
  <si>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</si>
  <si>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</si>
  <si>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</si>
  <si>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</si>
  <si>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</si>
  <si>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</si>
  <si>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</si>
  <si>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</si>
  <si>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</si>
  <si>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</si>
  <si>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</si>
  <si>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</si>
  <si>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</si>
  <si>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</si>
  <si>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</si>
  <si>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</si>
  <si>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</si>
  <si>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</si>
  <si>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</si>
  <si>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</si>
  <si>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</si>
  <si>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</si>
  <si>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</si>
  <si>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</si>
  <si>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</si>
  <si>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</si>
  <si>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</si>
  <si>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</si>
  <si>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</si>
  <si>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</si>
  <si>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</si>
  <si>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</si>
  <si>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</si>
  <si>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</si>
  <si>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</si>
  <si>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</si>
  <si>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</si>
  <si>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</si>
  <si>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</si>
  <si>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</si>
  <si>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</si>
  <si>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</si>
  <si>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</si>
  <si>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</si>
  <si>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</si>
  <si>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</si>
  <si>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</si>
  <si>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</si>
  <si>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</si>
  <si>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</si>
  <si>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</si>
  <si>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</si>
  <si>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</si>
  <si>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</si>
  <si>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</si>
  <si>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</si>
  <si>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</si>
  <si>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</si>
  <si>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</si>
  <si>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</si>
  <si>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</si>
  <si>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</si>
  <si>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</si>
  <si>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</si>
  <si>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</si>
  <si>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</si>
  <si>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</si>
  <si>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</si>
  <si>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</si>
  <si>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</si>
  <si>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</si>
  <si>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</si>
  <si>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</si>
  <si>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</si>
  <si>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</si>
  <si>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</si>
  <si>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</si>
  <si>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</si>
  <si>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</si>
  <si>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</si>
  <si>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</si>
  <si>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</si>
  <si>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</si>
  <si>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</si>
  <si>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</si>
  <si>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</si>
  <si>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</si>
  <si>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</si>
  <si>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</si>
  <si>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</si>
  <si>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</si>
  <si>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</si>
  <si>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</si>
  <si>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</si>
  <si>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</si>
  <si>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</si>
  <si>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</si>
  <si>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</si>
  <si>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</si>
  <si>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</si>
  <si>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Balance as of February 31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</si>
  <si>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</si>
  <si>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</si>
  <si>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</si>
  <si>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</si>
  <si>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</si>
  <si>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</si>
  <si>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</si>
  <si>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</si>
  <si>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</si>
  <si>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 xml:space="preserve">Bank Balance 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</si>
  <si>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</si>
  <si>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</si>
  <si>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</si>
  <si>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</si>
  <si>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</si>
  <si>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</si>
  <si>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</si>
  <si>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</si>
  <si>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</si>
  <si>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</si>
  <si>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Note:The deposits dates that the bank have will always be later than the book dates</t>
  </si>
  <si>
    <t xml:space="preserve">Note:$956 is a money deposit. It doesn't appear in the BS because either the bank added it at later date than 31 of Jan or some deposited it electronically during bank's day-off or etc… </t>
  </si>
  <si>
    <t>Note: 11,000 and the rest of yellow credit amounts are issued checks by our company but the receiver of the check did not go the bank yet(before 31).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</si>
</sst>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55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Alignment="1" applyProtection="1">
      <alignment horizontal="center"/>
      <protection locked="0"/>
    </xf>
    <xf numFmtId="39" fontId="2" fillId="0" borderId="0" xfId="2" applyNumberFormat="1" applyFill="1" applyBorder="1" applyAlignment="1" applyProtection="1">
      <alignment horizontal="center"/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37" fontId="2" fillId="7" borderId="55" xfId="2" applyNumberFormat="1" applyFill="1" applyBorder="1" applyProtection="1"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4" fillId="18" borderId="5" xfId="0" applyNumberFormat="1" applyFont="1" applyFill="1" applyBorder="1" applyProtection="1">
      <protection locked="0"/>
    </xf>
    <xf numFmtId="39" fontId="2" fillId="18" borderId="0" xfId="2" applyNumberFormat="1" applyFill="1" applyBorder="1"/>
    <xf numFmtId="37" fontId="2" fillId="20" borderId="55" xfId="2" applyNumberForma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  <xf numFmtId="165" fontId="9" fillId="0" borderId="49" xfId="2" applyNumberFormat="1" applyFont="1" applyFill="1" applyBorder="1" applyProtection="1">
      <protection locked="0"/>
    </xf>
    <xf numFmtId="37" fontId="4" fillId="21" borderId="5" xfId="0" applyNumberFormat="1" applyFont="1" applyFill="1" applyBorder="1" applyProtection="1">
      <protection locked="0"/>
    </xf>
    <xf numFmtId="37" fontId="4" fillId="22" borderId="5" xfId="0" applyNumberFormat="1" applyFont="1" applyFill="1" applyBorder="1" applyProtection="1">
      <protection locked="0"/>
    </xf>
    <xf numFmtId="37" fontId="2" fillId="22" borderId="55" xfId="2" applyNumberFormat="1" applyFill="1" applyBorder="1" applyProtection="1">
      <protection locked="0"/>
    </xf>
    <xf numFmtId="37" fontId="2" fillId="22" borderId="5" xfId="2" applyNumberFormat="1" applyFill="1" applyBorder="1" applyProtection="1">
      <protection locked="0"/>
    </xf>
    <xf numFmtId="37" fontId="2" fillId="21" borderId="5" xfId="2" applyNumberFormat="1" applyFill="1" applyBorder="1" applyProtection="1">
      <protection locked="0"/>
    </xf>
    <xf numFmtId="37" fontId="4" fillId="14" borderId="5" xfId="0" applyNumberFormat="1" applyFont="1" applyFill="1" applyBorder="1" applyProtection="1">
      <protection locked="0"/>
    </xf>
    <xf numFmtId="37" fontId="9" fillId="5" borderId="5" xfId="0" applyNumberFormat="1" applyFont="1" applyFill="1" applyBorder="1" applyProtection="1">
      <protection locked="0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O95"/>
  <sheetViews>
    <sheetView topLeftCell="U1" zoomScale="120" zoomScaleNormal="120" workbookViewId="0">
      <selection activeCell="AN8" sqref="AN8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37" t="s">
        <v>12</v>
      </c>
      <c r="AM1" s="237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38">
        <f>-SUM(AK13:AK20)</f>
        <v>74721.37</v>
      </c>
      <c r="AM2" s="238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4" t="s">
        <v>81</v>
      </c>
      <c r="CG2" s="245"/>
      <c r="CH2" s="246"/>
      <c r="CI2" s="81"/>
      <c r="CJ2" s="231" t="s">
        <v>82</v>
      </c>
      <c r="CK2" s="232"/>
      <c r="CL2" s="233"/>
      <c r="CM2" s="81"/>
      <c r="CN2" s="234" t="s">
        <v>83</v>
      </c>
      <c r="CO2" s="235"/>
      <c r="CP2" s="236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9" t="s">
        <v>30</v>
      </c>
      <c r="AL3" s="241">
        <f>AL2+AO2</f>
        <v>218801.77</v>
      </c>
      <c r="AM3" s="242"/>
      <c r="AN3" s="242"/>
      <c r="AO3" s="243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40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8">
        <v>42766</v>
      </c>
      <c r="V8" s="219" t="s">
        <v>29</v>
      </c>
      <c r="W8" s="219">
        <f>-X9</f>
        <v>80</v>
      </c>
      <c r="X8" s="219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8"/>
      <c r="V9" s="220" t="s">
        <v>39</v>
      </c>
      <c r="W9" s="219"/>
      <c r="X9" s="219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8">
        <v>42766</v>
      </c>
      <c r="V11" s="219" t="s">
        <v>48</v>
      </c>
      <c r="W11" s="219">
        <f>-X12</f>
        <v>15</v>
      </c>
      <c r="X11" s="219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8"/>
      <c r="V12" s="220" t="s">
        <v>39</v>
      </c>
      <c r="W12" s="219"/>
      <c r="X12" s="219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22" t="s">
        <v>81</v>
      </c>
      <c r="CG17" s="223"/>
      <c r="CH17" s="224"/>
      <c r="CI17" s="103"/>
      <c r="CJ17" s="225" t="s">
        <v>82</v>
      </c>
      <c r="CK17" s="226"/>
      <c r="CL17" s="227"/>
      <c r="CM17" s="103"/>
      <c r="CN17" s="228" t="s">
        <v>83</v>
      </c>
      <c r="CO17" s="229"/>
      <c r="CP17" s="230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22" t="s">
        <v>81</v>
      </c>
      <c r="CG28" s="223"/>
      <c r="CH28" s="224"/>
      <c r="CI28" s="103"/>
      <c r="CJ28" s="225" t="s">
        <v>82</v>
      </c>
      <c r="CK28" s="226"/>
      <c r="CL28" s="227"/>
      <c r="CM28" s="103"/>
      <c r="CN28" s="228" t="s">
        <v>83</v>
      </c>
      <c r="CO28" s="229"/>
      <c r="CP28" s="230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22" t="s">
        <v>81</v>
      </c>
      <c r="CG39" s="223"/>
      <c r="CH39" s="224"/>
      <c r="CI39" s="103"/>
      <c r="CJ39" s="225" t="s">
        <v>82</v>
      </c>
      <c r="CK39" s="226"/>
      <c r="CL39" s="227"/>
      <c r="CM39" s="103"/>
      <c r="CN39" s="228" t="s">
        <v>83</v>
      </c>
      <c r="CO39" s="229"/>
      <c r="CP39" s="230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22" t="s">
        <v>81</v>
      </c>
      <c r="CG52" s="223"/>
      <c r="CH52" s="224"/>
      <c r="CI52" s="103"/>
      <c r="CJ52" s="225" t="s">
        <v>82</v>
      </c>
      <c r="CK52" s="226"/>
      <c r="CL52" s="227"/>
      <c r="CM52" s="103"/>
      <c r="CN52" s="228" t="s">
        <v>83</v>
      </c>
      <c r="CO52" s="229"/>
      <c r="CP52" s="230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22" t="s">
        <v>81</v>
      </c>
      <c r="CG63" s="223"/>
      <c r="CH63" s="224"/>
      <c r="CI63" s="103"/>
      <c r="CJ63" s="225" t="s">
        <v>82</v>
      </c>
      <c r="CK63" s="226"/>
      <c r="CL63" s="227"/>
      <c r="CM63" s="103"/>
      <c r="CN63" s="228" t="s">
        <v>83</v>
      </c>
      <c r="CO63" s="229"/>
      <c r="CP63" s="230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22" t="s">
        <v>81</v>
      </c>
      <c r="CG74" s="223"/>
      <c r="CH74" s="224"/>
      <c r="CI74" s="103"/>
      <c r="CJ74" s="225" t="s">
        <v>82</v>
      </c>
      <c r="CK74" s="226"/>
      <c r="CL74" s="227"/>
      <c r="CM74" s="103"/>
      <c r="CN74" s="228" t="s">
        <v>83</v>
      </c>
      <c r="CO74" s="229"/>
      <c r="CP74" s="230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9fuKf/Lqcu2E4WfEqw4Cp4uCGJL4tg3S8680Vo3XDDXTEw4SBCvP8sGzewYhOg1qgW2uYNcF2qxMfoyomvi76g==" saltValue="zyX8c73SNg3YbKtXEj2ubA==" spinCount="100000" sheet="1" formatCells="0" formatColumns="0" formatRows="0" insertColumns="0" insertRows="0" insertHyperlinks="0" deleteColumns="0" deleteRows="0" selectLockedCells="1" sort="0" autoFilter="0" pivotTables="0"/>
  <mergeCells count="25">
    <mergeCell ref="AL1:AM1"/>
    <mergeCell ref="AL2:AM2"/>
    <mergeCell ref="AK3:AK4"/>
    <mergeCell ref="AL3:AO3"/>
    <mergeCell ref="CF2:CH2"/>
    <mergeCell ref="CJ2:CL2"/>
    <mergeCell ref="CN2:CP2"/>
    <mergeCell ref="CF17:CH17"/>
    <mergeCell ref="CJ17:CL17"/>
    <mergeCell ref="CN17:CP17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"/>
  <sheetViews>
    <sheetView zoomScale="120" zoomScaleNormal="120" workbookViewId="0">
      <selection activeCell="B17" sqref="B17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39" t="s">
        <v>30</v>
      </c>
      <c r="H3" s="239" t="s">
        <v>126</v>
      </c>
      <c r="I3" s="239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40"/>
      <c r="H4" s="240"/>
      <c r="I4" s="240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</f>
        <v>6222</v>
      </c>
      <c r="I22" s="146">
        <f t="shared" si="0"/>
        <v>-144175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48"/>
      <c r="I28" s="147">
        <f t="shared" si="0"/>
        <v>15</v>
      </c>
      <c r="J28" s="221"/>
    </row>
    <row r="29" spans="1:10" ht="15.75" x14ac:dyDescent="0.25">
      <c r="A29" s="64">
        <v>42766</v>
      </c>
      <c r="B29" s="4"/>
      <c r="C29" s="4"/>
      <c r="D29" s="4"/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/>
      <c r="C30" s="4"/>
      <c r="D30" s="4"/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/>
      <c r="C31" s="4"/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48"/>
      <c r="I33" s="147">
        <f t="shared" si="0"/>
        <v>80</v>
      </c>
      <c r="J33" s="221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-6222</v>
      </c>
      <c r="I40" s="3">
        <f>SUM(I24:I38)</f>
        <v>94.599999999999909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PRYl3AbP3nLm3qt0IiyfcdhS+Xrei6r8mCG6yCYQp9iizfqNWwd1VcfkHbTTRjGRNvU0ZLbi0Pp1Pz5S58RnyA==" saltValue="BzAoCHPp8sjuL2hLdNcTvw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C95"/>
  <sheetViews>
    <sheetView tabSelected="1" topLeftCell="BR4" zoomScale="120" zoomScaleNormal="120" workbookViewId="0">
      <selection activeCell="EF17" sqref="EF17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4" width="9.140625" style="17"/>
    <col min="145" max="152" width="9.140625" style="16"/>
    <col min="153" max="153" width="3" style="16" customWidth="1"/>
    <col min="154" max="156" width="9.140625" style="16"/>
    <col min="157" max="157" width="3" style="16" customWidth="1"/>
    <col min="158" max="16384" width="9.140625" style="16"/>
  </cols>
  <sheetData>
    <row r="1" spans="1:159" ht="35.65" customHeight="1" thickBot="1" x14ac:dyDescent="0.35">
      <c r="AJ1" s="5" t="s">
        <v>10</v>
      </c>
      <c r="AK1" s="6" t="s">
        <v>11</v>
      </c>
      <c r="AL1" s="237" t="s">
        <v>12</v>
      </c>
      <c r="AM1" s="237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O1" s="162"/>
      <c r="EP1" s="162"/>
      <c r="EQ1" s="162"/>
      <c r="ER1" s="162"/>
      <c r="ES1" s="162"/>
      <c r="ET1" s="162"/>
      <c r="EU1" s="162"/>
      <c r="EV1" s="162"/>
      <c r="FA1" s="17"/>
      <c r="FB1" s="17" t="s">
        <v>170</v>
      </c>
      <c r="FC1" s="17"/>
    </row>
    <row r="2" spans="1:159" ht="15" customHeight="1" thickBot="1" x14ac:dyDescent="0.3">
      <c r="AJ2" s="5">
        <f>SUM(AK5:AK12)</f>
        <v>229778.56949999998</v>
      </c>
      <c r="AK2" s="6" t="s">
        <v>11</v>
      </c>
      <c r="AL2" s="238">
        <f>-SUM(AK13:AK20)</f>
        <v>78831.968999999997</v>
      </c>
      <c r="AM2" s="238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4" t="s">
        <v>81</v>
      </c>
      <c r="CG2" s="245"/>
      <c r="CH2" s="246"/>
      <c r="CI2" s="81"/>
      <c r="CJ2" s="231" t="s">
        <v>82</v>
      </c>
      <c r="CK2" s="232"/>
      <c r="CL2" s="233"/>
      <c r="CM2" s="81"/>
      <c r="CN2" s="234" t="s">
        <v>83</v>
      </c>
      <c r="CO2" s="235"/>
      <c r="CP2" s="236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173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9" t="s">
        <v>170</v>
      </c>
      <c r="EK2" s="210"/>
      <c r="EO2" s="163" t="s">
        <v>157</v>
      </c>
      <c r="EP2" s="164"/>
      <c r="EQ2" s="164"/>
      <c r="ER2" s="164"/>
      <c r="ES2" s="164"/>
      <c r="ET2" s="164"/>
      <c r="EU2" s="164"/>
      <c r="EV2" s="165"/>
      <c r="EX2" s="37" t="s">
        <v>39</v>
      </c>
      <c r="EY2" s="37"/>
      <c r="EZ2" s="40"/>
      <c r="FA2" s="17"/>
      <c r="FB2" s="17"/>
      <c r="FC2" s="17"/>
    </row>
    <row r="3" spans="1:15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9" t="s">
        <v>30</v>
      </c>
      <c r="AL3" s="241">
        <f>AL2+AO2</f>
        <v>229778.56949999998</v>
      </c>
      <c r="AM3" s="242"/>
      <c r="AN3" s="242"/>
      <c r="AO3" s="243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11" t="s">
        <v>180</v>
      </c>
      <c r="EK3" s="212"/>
      <c r="EO3" s="166"/>
      <c r="EP3" s="167"/>
      <c r="EQ3" s="167"/>
      <c r="ER3" s="167"/>
      <c r="ES3" s="167"/>
      <c r="ET3" s="167"/>
      <c r="EU3" s="167"/>
      <c r="EV3" s="168"/>
      <c r="EX3" s="18" t="s">
        <v>6</v>
      </c>
      <c r="EY3" s="18" t="s">
        <v>7</v>
      </c>
      <c r="EZ3" s="18" t="s">
        <v>4</v>
      </c>
      <c r="FA3" s="17"/>
      <c r="FB3" s="17" t="s">
        <v>171</v>
      </c>
      <c r="FC3" s="17">
        <f>+ET7</f>
        <v>99296.09</v>
      </c>
    </row>
    <row r="4" spans="1:15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40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174</v>
      </c>
      <c r="DX4" s="167"/>
      <c r="DY4" s="167"/>
      <c r="DZ4" s="167"/>
      <c r="EA4" s="167"/>
      <c r="EB4" s="216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3" t="s">
        <v>169</v>
      </c>
      <c r="EK4" s="213"/>
      <c r="EO4" s="166" t="s">
        <v>158</v>
      </c>
      <c r="EP4" s="167"/>
      <c r="EQ4" s="167"/>
      <c r="ER4" s="167"/>
      <c r="ES4" s="167"/>
      <c r="ET4" s="203">
        <v>109415</v>
      </c>
      <c r="EU4" s="167"/>
      <c r="EV4" s="168"/>
      <c r="EX4" s="9" t="s">
        <v>15</v>
      </c>
      <c r="EY4" s="9"/>
      <c r="EZ4" s="9">
        <f>AO7</f>
        <v>94342</v>
      </c>
      <c r="FA4" s="17"/>
      <c r="FB4" s="17"/>
      <c r="FC4" s="17"/>
    </row>
    <row r="5" spans="1:159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15">
        <f>+'Trial Balance'!AM8</f>
        <v>25000</v>
      </c>
      <c r="EG5" s="15"/>
      <c r="EH5" s="9">
        <f>+EH4+SUM(EF5:EG5)</f>
        <v>25000</v>
      </c>
      <c r="EJ5" s="214" t="s">
        <v>15</v>
      </c>
      <c r="EK5" s="208">
        <v>109415</v>
      </c>
      <c r="EO5" s="166" t="s">
        <v>159</v>
      </c>
      <c r="EP5" s="167"/>
      <c r="EQ5" s="167"/>
      <c r="ER5" s="167"/>
      <c r="ES5" s="167"/>
      <c r="ET5" s="203">
        <f>+EQ27</f>
        <v>14030.5</v>
      </c>
      <c r="EU5" s="167"/>
      <c r="EV5" s="168"/>
      <c r="EX5" s="15"/>
      <c r="EY5" s="15">
        <f>+AN8</f>
        <v>-1359</v>
      </c>
      <c r="EZ5" s="9">
        <f>+EZ4+SUM(EX5:EY5)</f>
        <v>92983</v>
      </c>
      <c r="FA5" s="17"/>
      <c r="FB5" s="17"/>
      <c r="FC5" s="17"/>
    </row>
    <row r="6" spans="1:159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48">
        <f>+'Trial Balance'!AM9</f>
        <v>65000</v>
      </c>
      <c r="EG6" s="15"/>
      <c r="EH6" s="9">
        <f>+EH5+SUM(EF6:EG6)</f>
        <v>90000</v>
      </c>
      <c r="EJ6" s="29" t="s">
        <v>176</v>
      </c>
      <c r="EK6" s="12">
        <f>EG16+EG17+EG19+EG21+EG22</f>
        <v>-16029</v>
      </c>
      <c r="EO6" s="166" t="s">
        <v>160</v>
      </c>
      <c r="EP6" s="167"/>
      <c r="EQ6" s="167"/>
      <c r="ER6" s="167"/>
      <c r="ES6" s="167"/>
      <c r="ET6" s="203">
        <f>+EV27</f>
        <v>24149.41</v>
      </c>
      <c r="EU6" s="167"/>
      <c r="EV6" s="168"/>
      <c r="EX6" s="15"/>
      <c r="EY6" s="15">
        <f>+AN9</f>
        <v>-1359</v>
      </c>
      <c r="EZ6" s="9">
        <f t="shared" ref="EZ6:EZ14" si="2">+EZ5+SUM(EX6:EY6)</f>
        <v>91624</v>
      </c>
      <c r="FA6" s="17"/>
      <c r="FB6" s="17"/>
      <c r="FC6" s="17"/>
    </row>
    <row r="7" spans="1:159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175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48">
        <f>+'Trial Balance'!AM10</f>
        <v>50000</v>
      </c>
      <c r="EG7" s="15"/>
      <c r="EH7" s="9">
        <f t="shared" ref="EH7:EH22" si="3">+EH6+SUM(EF7:EG7)</f>
        <v>140000</v>
      </c>
      <c r="EJ7" s="29" t="s">
        <v>177</v>
      </c>
      <c r="EK7" s="31">
        <v>956</v>
      </c>
      <c r="EO7" s="166" t="s">
        <v>161</v>
      </c>
      <c r="EP7" s="167"/>
      <c r="EQ7" s="167"/>
      <c r="ER7" s="167"/>
      <c r="ES7" s="167"/>
      <c r="ET7" s="204">
        <f>+ET4+ET5-ET6</f>
        <v>99296.09</v>
      </c>
      <c r="EU7" s="167"/>
      <c r="EV7" s="168"/>
      <c r="EX7" s="15">
        <f>+AM10</f>
        <v>12250</v>
      </c>
      <c r="EY7" s="15"/>
      <c r="EZ7" s="9">
        <f t="shared" si="2"/>
        <v>103874</v>
      </c>
      <c r="FA7" s="17"/>
      <c r="FB7" s="17"/>
      <c r="FC7" s="17"/>
    </row>
    <row r="8" spans="1:159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49">
        <f>+'Trial Balance'!AN11</f>
        <v>-12000</v>
      </c>
      <c r="EH8" s="9">
        <f t="shared" si="3"/>
        <v>128000</v>
      </c>
      <c r="EJ8" s="29"/>
      <c r="EK8" s="12"/>
      <c r="EO8" s="166"/>
      <c r="EP8" s="167"/>
      <c r="EQ8" s="167"/>
      <c r="ER8" s="167"/>
      <c r="ES8" s="167"/>
      <c r="ET8" s="167"/>
      <c r="EU8" s="167"/>
      <c r="EV8" s="168"/>
      <c r="EX8" s="15">
        <f>+AM11</f>
        <v>825</v>
      </c>
      <c r="EY8" s="15"/>
      <c r="EZ8" s="9">
        <f t="shared" si="2"/>
        <v>104699</v>
      </c>
      <c r="FA8" s="17"/>
      <c r="FB8" s="17"/>
      <c r="FC8" s="17"/>
    </row>
    <row r="9" spans="1:159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162</v>
      </c>
      <c r="DX9" s="167"/>
      <c r="DY9" s="167"/>
      <c r="DZ9" s="167"/>
      <c r="EA9" s="171" t="s">
        <v>163</v>
      </c>
      <c r="EB9" s="171"/>
      <c r="EC9" s="171"/>
      <c r="ED9" s="172"/>
      <c r="EF9" s="15"/>
      <c r="EG9" s="249">
        <f>+'Trial Balance'!AN12</f>
        <v>-16000</v>
      </c>
      <c r="EH9" s="9">
        <f t="shared" si="3"/>
        <v>112000</v>
      </c>
      <c r="EJ9" s="29"/>
      <c r="EK9" s="12"/>
      <c r="EO9" s="170" t="s">
        <v>162</v>
      </c>
      <c r="EP9" s="167"/>
      <c r="EQ9" s="167"/>
      <c r="ER9" s="167"/>
      <c r="ES9" s="171" t="s">
        <v>163</v>
      </c>
      <c r="ET9" s="171"/>
      <c r="EU9" s="171"/>
      <c r="EV9" s="172"/>
      <c r="EX9" s="15"/>
      <c r="EY9" s="15">
        <f>+AN12</f>
        <v>-168</v>
      </c>
      <c r="EZ9" s="9">
        <f t="shared" si="2"/>
        <v>104531</v>
      </c>
      <c r="FA9" s="17"/>
      <c r="FB9" s="17"/>
      <c r="FC9" s="17"/>
    </row>
    <row r="10" spans="1:159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164</v>
      </c>
      <c r="EB10" s="175" t="s">
        <v>165</v>
      </c>
      <c r="EC10" s="167"/>
      <c r="ED10" s="176" t="s">
        <v>134</v>
      </c>
      <c r="EF10" s="15"/>
      <c r="EG10" s="249">
        <f>+'Trial Balance'!AN13</f>
        <v>-7000</v>
      </c>
      <c r="EH10" s="9">
        <f t="shared" si="3"/>
        <v>105000</v>
      </c>
      <c r="EJ10" s="12" t="s">
        <v>181</v>
      </c>
      <c r="EK10" s="32">
        <f>SUM(EK5:EK9)</f>
        <v>94342</v>
      </c>
      <c r="EO10" s="173" t="s">
        <v>27</v>
      </c>
      <c r="EP10" s="167"/>
      <c r="EQ10" s="174" t="s">
        <v>134</v>
      </c>
      <c r="ER10" s="167"/>
      <c r="ES10" s="175" t="s">
        <v>164</v>
      </c>
      <c r="ET10" s="175" t="s">
        <v>165</v>
      </c>
      <c r="EU10" s="167"/>
      <c r="EV10" s="176" t="s">
        <v>134</v>
      </c>
      <c r="EX10" s="15">
        <f>+AM13</f>
        <v>1641</v>
      </c>
      <c r="EY10" s="15"/>
      <c r="EZ10" s="9">
        <f t="shared" si="2"/>
        <v>106172</v>
      </c>
      <c r="FA10" s="17"/>
      <c r="FB10" s="17" t="s">
        <v>172</v>
      </c>
      <c r="FC10" s="17"/>
    </row>
    <row r="11" spans="1:159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252">
        <v>50000</v>
      </c>
      <c r="DZ11" s="178"/>
      <c r="EA11" s="179">
        <v>42749</v>
      </c>
      <c r="EB11" s="180">
        <v>1001</v>
      </c>
      <c r="EC11" s="178"/>
      <c r="ED11" s="250">
        <v>12000</v>
      </c>
      <c r="EF11" s="248">
        <f>+'Trial Balance'!AM14</f>
        <v>628</v>
      </c>
      <c r="EG11" s="15"/>
      <c r="EH11" s="9">
        <f t="shared" si="3"/>
        <v>105628</v>
      </c>
      <c r="EO11" s="177">
        <v>42769</v>
      </c>
      <c r="EP11" s="178"/>
      <c r="EQ11" s="201">
        <v>955.5</v>
      </c>
      <c r="ER11" s="178"/>
      <c r="ES11" s="179">
        <v>42771</v>
      </c>
      <c r="ET11" s="180">
        <v>1006</v>
      </c>
      <c r="EU11" s="178"/>
      <c r="EV11" s="202">
        <v>11000</v>
      </c>
      <c r="EX11" s="15"/>
      <c r="EY11" s="15">
        <f>+AN14</f>
        <v>-123</v>
      </c>
      <c r="EZ11" s="9">
        <f t="shared" si="2"/>
        <v>106049</v>
      </c>
      <c r="FA11" s="17"/>
      <c r="FB11" s="17"/>
      <c r="FC11" s="17"/>
    </row>
    <row r="12" spans="1:159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252">
        <v>65000</v>
      </c>
      <c r="DZ12" s="178"/>
      <c r="EA12" s="179">
        <v>42754</v>
      </c>
      <c r="EB12" s="180">
        <v>1002</v>
      </c>
      <c r="EC12" s="178"/>
      <c r="ED12" s="250">
        <v>16000</v>
      </c>
      <c r="EF12" s="248">
        <f>+'Trial Balance'!AM15</f>
        <v>20500</v>
      </c>
      <c r="EG12" s="15"/>
      <c r="EH12" s="9">
        <f t="shared" si="3"/>
        <v>126128</v>
      </c>
      <c r="EJ12" s="213" t="s">
        <v>172</v>
      </c>
      <c r="EK12" s="213"/>
      <c r="EO12" s="177">
        <v>42775</v>
      </c>
      <c r="EP12" s="178"/>
      <c r="EQ12" s="201">
        <v>12250</v>
      </c>
      <c r="ER12" s="178"/>
      <c r="ES12" s="179">
        <v>42771</v>
      </c>
      <c r="ET12" s="180">
        <v>1007</v>
      </c>
      <c r="EU12" s="178"/>
      <c r="EV12" s="202">
        <v>500</v>
      </c>
      <c r="EX12" s="15"/>
      <c r="EY12" s="15">
        <f>+AN15</f>
        <v>-1598</v>
      </c>
      <c r="EZ12" s="9">
        <f t="shared" si="2"/>
        <v>104451</v>
      </c>
      <c r="FA12" s="17"/>
      <c r="FB12" s="17"/>
      <c r="FC12" s="17"/>
    </row>
    <row r="13" spans="1:159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5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252">
        <v>628</v>
      </c>
      <c r="DZ13" s="178"/>
      <c r="EA13" s="179">
        <v>42755</v>
      </c>
      <c r="EB13" s="180">
        <v>1003</v>
      </c>
      <c r="EC13" s="178"/>
      <c r="ED13" s="250">
        <v>7000</v>
      </c>
      <c r="EF13" s="15"/>
      <c r="EG13" s="249">
        <f>+'Trial Balance'!AN16</f>
        <v>-400</v>
      </c>
      <c r="EH13" s="9">
        <f t="shared" si="3"/>
        <v>125728</v>
      </c>
      <c r="EJ13" s="29" t="s">
        <v>15</v>
      </c>
      <c r="EK13" s="12">
        <v>94437</v>
      </c>
      <c r="EO13" s="177">
        <v>42781</v>
      </c>
      <c r="EP13" s="178"/>
      <c r="EQ13" s="201">
        <v>825</v>
      </c>
      <c r="ER13" s="178"/>
      <c r="ES13" s="179">
        <v>42772</v>
      </c>
      <c r="ET13" s="180">
        <v>1009</v>
      </c>
      <c r="EU13" s="178"/>
      <c r="EV13" s="202">
        <v>360</v>
      </c>
      <c r="EX13" s="15"/>
      <c r="EY13" s="15">
        <f>+AN16</f>
        <v>-1193</v>
      </c>
      <c r="EZ13" s="9">
        <f t="shared" si="2"/>
        <v>103258</v>
      </c>
      <c r="FA13" s="17"/>
      <c r="FB13" s="17"/>
      <c r="FC13" s="17"/>
    </row>
    <row r="14" spans="1:159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5"/>
        <v>1358.7288223687872</v>
      </c>
      <c r="DS14" s="138">
        <f t="shared" ref="DS14:DS68" si="16">DU13*$DT$4/12</f>
        <v>277.75857498702618</v>
      </c>
      <c r="DT14" s="138">
        <f t="shared" ref="DT14:DT68" si="17">DR14-DS14</f>
        <v>1080.9702473817611</v>
      </c>
      <c r="DU14" s="138">
        <f t="shared" ref="DU14:DU68" si="18">DU13-DT14</f>
        <v>65581.087749504513</v>
      </c>
      <c r="DW14" s="177">
        <v>42755</v>
      </c>
      <c r="DX14" s="178"/>
      <c r="DY14" s="252">
        <v>20500</v>
      </c>
      <c r="DZ14" s="178"/>
      <c r="EA14" s="179">
        <v>42766</v>
      </c>
      <c r="EB14" s="180">
        <v>1004</v>
      </c>
      <c r="EC14" s="178"/>
      <c r="ED14" s="250">
        <v>400</v>
      </c>
      <c r="EF14" s="15"/>
      <c r="EG14" s="249">
        <f>+'Trial Balance'!AN17</f>
        <v>-598</v>
      </c>
      <c r="EH14" s="9">
        <f t="shared" si="3"/>
        <v>125130</v>
      </c>
      <c r="EJ14" s="29" t="s">
        <v>166</v>
      </c>
      <c r="EK14" s="12">
        <v>-80</v>
      </c>
      <c r="EO14" s="181"/>
      <c r="EP14" s="178"/>
      <c r="EQ14" s="178"/>
      <c r="ER14" s="178"/>
      <c r="ES14" s="179">
        <v>42772</v>
      </c>
      <c r="ET14" s="180">
        <v>1011</v>
      </c>
      <c r="EU14" s="178">
        <v>3539.33</v>
      </c>
      <c r="EV14" s="202">
        <v>3539.33</v>
      </c>
      <c r="EX14" s="15"/>
      <c r="EY14" s="15">
        <f>+AN17</f>
        <v>-4141.2005000000008</v>
      </c>
      <c r="EZ14" s="9">
        <f t="shared" si="2"/>
        <v>99116.799499999994</v>
      </c>
      <c r="FA14" s="17"/>
      <c r="FB14" s="17"/>
      <c r="FC14" s="17"/>
    </row>
    <row r="15" spans="1:159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/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5"/>
        <v>1358.7288223687872</v>
      </c>
      <c r="DS15" s="138">
        <f t="shared" si="16"/>
        <v>273.25453228960214</v>
      </c>
      <c r="DT15" s="138">
        <f t="shared" si="17"/>
        <v>1085.474290079185</v>
      </c>
      <c r="DU15" s="138">
        <f t="shared" si="18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251">
        <v>598</v>
      </c>
      <c r="EF15" s="253">
        <f>+'Trial Balance'!AM18</f>
        <v>956</v>
      </c>
      <c r="EG15" s="15"/>
      <c r="EH15" s="9">
        <f t="shared" si="3"/>
        <v>126086</v>
      </c>
      <c r="EJ15" s="29" t="s">
        <v>178</v>
      </c>
      <c r="EK15" s="31">
        <v>-15</v>
      </c>
      <c r="EO15" s="181"/>
      <c r="EP15" s="178"/>
      <c r="EQ15" s="182"/>
      <c r="ER15" s="178"/>
      <c r="ES15" s="179">
        <v>42772</v>
      </c>
      <c r="ET15" s="180">
        <v>1012</v>
      </c>
      <c r="EU15" s="178"/>
      <c r="EV15" s="201">
        <v>630</v>
      </c>
      <c r="FA15" s="17"/>
      <c r="FB15" s="17"/>
      <c r="FC15" s="17"/>
    </row>
    <row r="16" spans="1:159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19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0">+BQ15+SUM(BO16:BP16)</f>
        <v>0</v>
      </c>
      <c r="BS16" s="76">
        <f>W9</f>
        <v>411.79950000000008</v>
      </c>
      <c r="BT16" s="76"/>
      <c r="BU16" s="2">
        <f t="shared" ref="BU16:BU19" si="21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2">SUM(DM14:DM15)</f>
        <v>4141.2005000000008</v>
      </c>
      <c r="DN16" s="140">
        <f>SUM(DN14:DN15)</f>
        <v>333.74600000000004</v>
      </c>
      <c r="DO16" s="140">
        <f t="shared" si="22"/>
        <v>78.053500000000014</v>
      </c>
      <c r="DQ16" s="154">
        <v>8</v>
      </c>
      <c r="DR16" s="138">
        <f t="shared" si="15"/>
        <v>1358.7288223687872</v>
      </c>
      <c r="DS16" s="138">
        <f t="shared" si="16"/>
        <v>268.73172274760555</v>
      </c>
      <c r="DT16" s="138">
        <f t="shared" si="17"/>
        <v>1089.9970996211816</v>
      </c>
      <c r="DU16" s="138">
        <f t="shared" si="18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251">
        <v>620</v>
      </c>
      <c r="EF16" s="254" t="s">
        <v>183</v>
      </c>
      <c r="EG16" s="253">
        <f>+'Trial Balance'!AN19</f>
        <v>-11000</v>
      </c>
      <c r="EH16" s="9">
        <f t="shared" si="3"/>
        <v>115086</v>
      </c>
      <c r="EJ16" s="29"/>
      <c r="EK16" s="12"/>
      <c r="EO16" s="181"/>
      <c r="EP16" s="178"/>
      <c r="EQ16" s="182"/>
      <c r="ER16" s="178"/>
      <c r="ES16" s="179">
        <v>42791</v>
      </c>
      <c r="ET16" s="180">
        <v>1013</v>
      </c>
      <c r="EU16" s="178"/>
      <c r="EV16" s="201">
        <v>1359</v>
      </c>
      <c r="FA16" s="17"/>
      <c r="FB16" s="17"/>
      <c r="FC16" s="17"/>
    </row>
    <row r="17" spans="1:159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19"/>
        <v>-1200</v>
      </c>
      <c r="BC17" s="15"/>
      <c r="BD17" s="15">
        <f>X6</f>
        <v>-1241.7995000000001</v>
      </c>
      <c r="BE17" s="57">
        <f t="shared" ref="BE17:BE20" si="23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0"/>
        <v>0</v>
      </c>
      <c r="BS17" s="15"/>
      <c r="BT17" s="15"/>
      <c r="BU17" s="2">
        <f t="shared" si="21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22" t="s">
        <v>81</v>
      </c>
      <c r="CG17" s="223"/>
      <c r="CH17" s="224"/>
      <c r="CI17" s="103"/>
      <c r="CJ17" s="225" t="s">
        <v>82</v>
      </c>
      <c r="CK17" s="226"/>
      <c r="CL17" s="227"/>
      <c r="CM17" s="103"/>
      <c r="CN17" s="228" t="s">
        <v>83</v>
      </c>
      <c r="CO17" s="229"/>
      <c r="CP17" s="230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5"/>
        <v>1358.7288223687872</v>
      </c>
      <c r="DS17" s="138">
        <f t="shared" si="16"/>
        <v>264.19006816585062</v>
      </c>
      <c r="DT17" s="138">
        <f t="shared" si="17"/>
        <v>1094.5387542029366</v>
      </c>
      <c r="DU17" s="138">
        <f t="shared" si="18"/>
        <v>62311.077605601211</v>
      </c>
      <c r="DW17" s="247" t="s">
        <v>182</v>
      </c>
      <c r="DX17" s="178"/>
      <c r="DY17" s="182"/>
      <c r="DZ17" s="178"/>
      <c r="EA17" s="179">
        <v>42766</v>
      </c>
      <c r="EB17" s="180">
        <v>1010</v>
      </c>
      <c r="EC17" s="178"/>
      <c r="ED17" s="251">
        <v>15000</v>
      </c>
      <c r="EF17" s="254" t="s">
        <v>184</v>
      </c>
      <c r="EG17" s="253">
        <f>+'Trial Balance'!AN20</f>
        <v>-500</v>
      </c>
      <c r="EH17" s="9">
        <f t="shared" si="3"/>
        <v>114586</v>
      </c>
      <c r="EJ17" s="12" t="s">
        <v>179</v>
      </c>
      <c r="EK17" s="32">
        <f>SUM(EK13:EK16)</f>
        <v>94342</v>
      </c>
      <c r="EO17" s="181"/>
      <c r="EP17" s="178"/>
      <c r="EQ17" s="182"/>
      <c r="ER17" s="178"/>
      <c r="ES17" s="179">
        <v>42791</v>
      </c>
      <c r="ET17" s="180">
        <v>1015</v>
      </c>
      <c r="EU17" s="178"/>
      <c r="EV17" s="201">
        <v>168</v>
      </c>
      <c r="FA17" s="17"/>
      <c r="FB17" s="17"/>
      <c r="FC17" s="17"/>
    </row>
    <row r="18" spans="1:159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/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19"/>
        <v>-1565</v>
      </c>
      <c r="BC18" s="15"/>
      <c r="BD18" s="15">
        <f>X10</f>
        <v>-411.79950000000008</v>
      </c>
      <c r="BE18" s="57">
        <f t="shared" si="23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1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5"/>
        <v>1358.7288223687872</v>
      </c>
      <c r="DS18" s="138">
        <f t="shared" si="16"/>
        <v>259.62949002333841</v>
      </c>
      <c r="DT18" s="138">
        <f t="shared" si="17"/>
        <v>1099.0993323454488</v>
      </c>
      <c r="DU18" s="138">
        <f t="shared" si="18"/>
        <v>61211.978273255765</v>
      </c>
      <c r="DW18" s="185"/>
      <c r="DX18" s="186"/>
      <c r="DY18" s="186"/>
      <c r="DZ18" s="186"/>
      <c r="EA18" s="187"/>
      <c r="EB18" s="188"/>
      <c r="EC18" s="186"/>
      <c r="ED18" s="189"/>
      <c r="EF18" s="15"/>
      <c r="EG18" s="249">
        <f>+'Trial Balance'!AN21</f>
        <v>-620</v>
      </c>
      <c r="EH18" s="9">
        <f t="shared" si="3"/>
        <v>113966</v>
      </c>
      <c r="EO18" s="181"/>
      <c r="EP18" s="178"/>
      <c r="EQ18" s="182"/>
      <c r="ER18" s="178"/>
      <c r="ES18" s="179">
        <v>42794</v>
      </c>
      <c r="ET18" s="180">
        <v>1014</v>
      </c>
      <c r="EU18" s="178"/>
      <c r="EV18" s="201">
        <v>1359</v>
      </c>
      <c r="FA18" s="17"/>
      <c r="FB18" s="17"/>
      <c r="FC18" s="17"/>
    </row>
    <row r="19" spans="1:159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/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19"/>
        <v>-1745</v>
      </c>
      <c r="BC19" s="15"/>
      <c r="BD19" s="15"/>
      <c r="BE19" s="57">
        <f t="shared" si="23"/>
        <v>-1653.5990000000002</v>
      </c>
      <c r="BG19" s="1" t="s">
        <v>15</v>
      </c>
      <c r="BH19" s="9"/>
      <c r="BI19" s="2">
        <f>'Jan Close'!I22</f>
        <v>-144175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1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5"/>
        <v>1358.7288223687872</v>
      </c>
      <c r="DS19" s="138">
        <f t="shared" si="16"/>
        <v>255.04990947189904</v>
      </c>
      <c r="DT19" s="138">
        <f t="shared" si="17"/>
        <v>1103.6789128968881</v>
      </c>
      <c r="DU19" s="138">
        <f t="shared" si="18"/>
        <v>60108.299360358877</v>
      </c>
      <c r="DW19" s="185"/>
      <c r="DX19" s="186"/>
      <c r="DY19" s="186"/>
      <c r="DZ19" s="186"/>
      <c r="EA19" s="190" t="s">
        <v>166</v>
      </c>
      <c r="EB19" s="191"/>
      <c r="EC19" s="186"/>
      <c r="ED19" s="217">
        <v>80</v>
      </c>
      <c r="EF19" s="15"/>
      <c r="EG19" s="253">
        <f>+'Trial Balance'!AN22</f>
        <v>-360</v>
      </c>
      <c r="EH19" s="9">
        <f t="shared" si="3"/>
        <v>113606</v>
      </c>
      <c r="EO19" s="181"/>
      <c r="EP19" s="178"/>
      <c r="EQ19" s="182"/>
      <c r="ER19" s="178"/>
      <c r="ES19" s="183">
        <v>42794</v>
      </c>
      <c r="ET19" s="180">
        <v>1016</v>
      </c>
      <c r="EU19" s="184"/>
      <c r="EV19" s="201">
        <v>123.37</v>
      </c>
      <c r="FA19" s="17"/>
      <c r="FB19" s="17"/>
      <c r="FC19" s="17"/>
    </row>
    <row r="20" spans="1:159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19"/>
        <v>-2393</v>
      </c>
      <c r="BC20" s="15"/>
      <c r="BD20" s="15"/>
      <c r="BE20" s="57">
        <f t="shared" si="23"/>
        <v>-1653.5990000000002</v>
      </c>
      <c r="BG20" s="15"/>
      <c r="BH20" s="15"/>
      <c r="BI20" s="2">
        <f>+BI19+SUM(BG20:BH20)</f>
        <v>-144175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4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5"/>
        <v>1358.7288223687872</v>
      </c>
      <c r="DS20" s="138">
        <f t="shared" si="16"/>
        <v>250.45124733482865</v>
      </c>
      <c r="DT20" s="138">
        <f t="shared" si="17"/>
        <v>1108.2775750339586</v>
      </c>
      <c r="DU20" s="138">
        <f t="shared" si="18"/>
        <v>59000.02178532492</v>
      </c>
      <c r="DW20" s="185"/>
      <c r="DX20" s="186"/>
      <c r="DY20" s="186"/>
      <c r="DZ20" s="186"/>
      <c r="EA20" s="190" t="s">
        <v>167</v>
      </c>
      <c r="EB20" s="191"/>
      <c r="EC20" s="186"/>
      <c r="ED20" s="217">
        <v>15</v>
      </c>
      <c r="EF20" s="15"/>
      <c r="EG20" s="249">
        <f>+'Trial Balance'!AN23</f>
        <v>-15000</v>
      </c>
      <c r="EH20" s="9">
        <f t="shared" si="3"/>
        <v>98606</v>
      </c>
      <c r="EO20" s="181"/>
      <c r="EP20" s="178"/>
      <c r="EQ20" s="182"/>
      <c r="ER20" s="178"/>
      <c r="ES20" s="179">
        <v>42794</v>
      </c>
      <c r="ET20" s="180">
        <v>1017</v>
      </c>
      <c r="EU20" s="178"/>
      <c r="EV20" s="201">
        <v>830</v>
      </c>
      <c r="FA20" s="17"/>
      <c r="FB20" s="17"/>
      <c r="FC20" s="17"/>
    </row>
    <row r="21" spans="1:159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19"/>
        <v>-1200</v>
      </c>
      <c r="BC21" s="16"/>
      <c r="BD21" s="16"/>
      <c r="BE21" s="16"/>
      <c r="BG21" s="15"/>
      <c r="BH21" s="15"/>
      <c r="BI21" s="2">
        <f>+BI20+SUM(BG21:BH21)</f>
        <v>-144175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4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5"/>
        <v>1358.7288223687872</v>
      </c>
      <c r="DS21" s="138">
        <f t="shared" si="16"/>
        <v>245.83342410552052</v>
      </c>
      <c r="DT21" s="138">
        <f t="shared" si="17"/>
        <v>1112.8953982632665</v>
      </c>
      <c r="DU21" s="138">
        <f t="shared" si="18"/>
        <v>57887.126387061653</v>
      </c>
      <c r="DW21" s="193"/>
      <c r="DX21" s="194"/>
      <c r="DY21" s="194"/>
      <c r="DZ21" s="194"/>
      <c r="EA21" s="194"/>
      <c r="EB21" s="194"/>
      <c r="EC21" s="194"/>
      <c r="ED21" s="195"/>
      <c r="EF21" s="15"/>
      <c r="EG21" s="253">
        <f>+'Trial Balance'!AN24</f>
        <v>-3539</v>
      </c>
      <c r="EH21" s="9">
        <f t="shared" si="3"/>
        <v>95067</v>
      </c>
      <c r="EO21" s="181"/>
      <c r="EP21" s="178"/>
      <c r="EQ21" s="182"/>
      <c r="ER21" s="178"/>
      <c r="ES21" s="179">
        <v>42794</v>
      </c>
      <c r="ET21" s="180">
        <v>1020</v>
      </c>
      <c r="EU21" s="178"/>
      <c r="EV21" s="201">
        <v>648</v>
      </c>
      <c r="FA21" s="17"/>
      <c r="FB21" s="17"/>
      <c r="FC21" s="17"/>
    </row>
    <row r="22" spans="1:159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-144175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19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-144175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5"/>
        <v>1358.7288223687872</v>
      </c>
      <c r="DS22" s="138">
        <f t="shared" si="16"/>
        <v>241.19635994609021</v>
      </c>
      <c r="DT22" s="138">
        <f t="shared" si="17"/>
        <v>1117.5324624226969</v>
      </c>
      <c r="DU22" s="138">
        <f t="shared" si="18"/>
        <v>56769.593924638953</v>
      </c>
      <c r="DW22" s="196" t="s">
        <v>168</v>
      </c>
      <c r="DX22" s="197"/>
      <c r="DY22" s="197">
        <f>SUM(DY11:DY20)</f>
        <v>136128</v>
      </c>
      <c r="DZ22" s="197"/>
      <c r="EA22" s="198"/>
      <c r="EB22" s="198"/>
      <c r="EC22" s="197"/>
      <c r="ED22" s="197">
        <f>SUM(ED11:ED20)</f>
        <v>51713</v>
      </c>
      <c r="EF22" s="15"/>
      <c r="EG22" s="253">
        <f>+'Trial Balance'!AN25</f>
        <v>-630</v>
      </c>
      <c r="EH22" s="9">
        <f t="shared" si="3"/>
        <v>94437</v>
      </c>
      <c r="EO22" s="181"/>
      <c r="EP22" s="178"/>
      <c r="EQ22" s="182"/>
      <c r="ER22" s="178"/>
      <c r="ES22" s="179">
        <v>42794</v>
      </c>
      <c r="ET22" s="180">
        <v>1023</v>
      </c>
      <c r="EU22" s="178"/>
      <c r="EV22" s="201">
        <v>3512.71</v>
      </c>
      <c r="FA22" s="17"/>
      <c r="FB22" s="17"/>
      <c r="FC22" s="17"/>
    </row>
    <row r="23" spans="1:159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19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-144175</v>
      </c>
      <c r="BK23" s="76">
        <f>H9</f>
        <v>400</v>
      </c>
      <c r="BL23" s="76"/>
      <c r="BM23" s="2">
        <f t="shared" ref="BM23:BM34" si="25">+BM22+SUM(BK23:BL23)</f>
        <v>800</v>
      </c>
      <c r="BO23" s="76">
        <f>C10</f>
        <v>296</v>
      </c>
      <c r="BP23" s="76"/>
      <c r="BQ23" s="2">
        <f t="shared" ref="BQ23:BQ24" si="26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5"/>
        <v>1358.7288223687872</v>
      </c>
      <c r="DS23" s="138">
        <f t="shared" si="16"/>
        <v>236.53997468599565</v>
      </c>
      <c r="DT23" s="138">
        <f t="shared" si="17"/>
        <v>1122.1888476827914</v>
      </c>
      <c r="DU23" s="138">
        <f t="shared" si="18"/>
        <v>55647.405076956165</v>
      </c>
      <c r="EO23" s="185"/>
      <c r="EP23" s="186"/>
      <c r="EQ23" s="186"/>
      <c r="ER23" s="186"/>
      <c r="ES23" s="187"/>
      <c r="ET23" s="188"/>
      <c r="EU23" s="186"/>
      <c r="EV23" s="189"/>
      <c r="FA23" s="17"/>
      <c r="FB23" s="17"/>
      <c r="FC23" s="17"/>
    </row>
    <row r="24" spans="1:159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7">+AW23+SUM(AU24:AV24)</f>
        <v>249.5</v>
      </c>
      <c r="AY24" s="15"/>
      <c r="AZ24" s="15"/>
      <c r="BA24" s="57">
        <f t="shared" si="19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-144175</v>
      </c>
      <c r="BK24" s="76">
        <f>H16</f>
        <v>480</v>
      </c>
      <c r="BL24" s="76"/>
      <c r="BM24" s="2">
        <f t="shared" si="25"/>
        <v>1280</v>
      </c>
      <c r="BO24" s="15"/>
      <c r="BP24" s="15"/>
      <c r="BQ24" s="2">
        <f t="shared" si="26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5"/>
        <v>1358.7288223687872</v>
      </c>
      <c r="DS24" s="138">
        <f t="shared" si="16"/>
        <v>231.8641878206507</v>
      </c>
      <c r="DT24" s="138">
        <f t="shared" si="17"/>
        <v>1126.8646345481366</v>
      </c>
      <c r="DU24" s="138">
        <f t="shared" si="18"/>
        <v>54520.540442408026</v>
      </c>
      <c r="EO24" s="185"/>
      <c r="EP24" s="186"/>
      <c r="EQ24" s="186"/>
      <c r="ER24" s="186"/>
      <c r="ES24" s="190" t="s">
        <v>166</v>
      </c>
      <c r="ET24" s="191"/>
      <c r="EU24" s="186"/>
      <c r="EV24" s="192">
        <v>100</v>
      </c>
      <c r="FA24" s="17"/>
      <c r="FB24" s="17"/>
      <c r="FC24" s="17"/>
    </row>
    <row r="25" spans="1:159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7"/>
        <v>549.5</v>
      </c>
      <c r="AX25" s="26"/>
      <c r="AY25" s="15"/>
      <c r="AZ25" s="15"/>
      <c r="BA25" s="57">
        <f t="shared" si="19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5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8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5"/>
        <v>1358.7288223687872</v>
      </c>
      <c r="DS25" s="138">
        <f t="shared" si="16"/>
        <v>227.16891851003345</v>
      </c>
      <c r="DT25" s="138">
        <f t="shared" si="17"/>
        <v>1131.5599038587538</v>
      </c>
      <c r="DU25" s="138">
        <f t="shared" si="18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33"/>
      <c r="EN25" s="133"/>
      <c r="EO25" s="185"/>
      <c r="EP25" s="186"/>
      <c r="EQ25" s="186"/>
      <c r="ER25" s="186"/>
      <c r="ES25" s="190" t="s">
        <v>167</v>
      </c>
      <c r="ET25" s="191"/>
      <c r="EU25" s="186"/>
      <c r="EV25" s="192">
        <v>20</v>
      </c>
      <c r="FA25" s="133"/>
      <c r="FB25" s="133"/>
      <c r="FC25" s="133"/>
    </row>
    <row r="26" spans="1:159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7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29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5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8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5"/>
        <v>1358.7288223687872</v>
      </c>
      <c r="DS26" s="138">
        <f t="shared" si="16"/>
        <v>222.45408557728865</v>
      </c>
      <c r="DT26" s="138">
        <f t="shared" si="17"/>
        <v>1136.2747367914985</v>
      </c>
      <c r="DU26" s="138">
        <f t="shared" si="18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34"/>
      <c r="EN26" s="134"/>
      <c r="EO26" s="193"/>
      <c r="EP26" s="194"/>
      <c r="EQ26" s="194"/>
      <c r="ER26" s="194"/>
      <c r="ES26" s="194"/>
      <c r="ET26" s="194"/>
      <c r="EU26" s="194"/>
      <c r="EV26" s="195"/>
      <c r="FA26" s="134"/>
      <c r="FB26" s="134"/>
      <c r="FC26" s="134"/>
    </row>
    <row r="27" spans="1:159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7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29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5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5"/>
        <v>1358.7288223687872</v>
      </c>
      <c r="DS27" s="138">
        <f t="shared" si="16"/>
        <v>217.71960750732407</v>
      </c>
      <c r="DT27" s="138">
        <f t="shared" si="17"/>
        <v>1141.0092148614631</v>
      </c>
      <c r="DU27" s="138">
        <f t="shared" si="18"/>
        <v>51111.696586896309</v>
      </c>
      <c r="DV27" s="20"/>
      <c r="EO27" s="196" t="s">
        <v>168</v>
      </c>
      <c r="EP27" s="197"/>
      <c r="EQ27" s="205">
        <f>SUM(EQ11:EQ25)</f>
        <v>14030.5</v>
      </c>
      <c r="ER27" s="205"/>
      <c r="ES27" s="206"/>
      <c r="ET27" s="206"/>
      <c r="EU27" s="206"/>
      <c r="EV27" s="207">
        <f>SUM(EV11:EV25)</f>
        <v>24149.41</v>
      </c>
      <c r="FA27" s="17"/>
      <c r="FB27" s="17"/>
      <c r="FC27" s="17"/>
    </row>
    <row r="28" spans="1:159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7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29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5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0">+AJ27</f>
        <v>Bank Service Charges</v>
      </c>
      <c r="BX28" s="12">
        <f t="shared" si="30"/>
        <v>15</v>
      </c>
      <c r="BY28" s="12"/>
      <c r="CE28" s="100" t="s">
        <v>90</v>
      </c>
      <c r="CF28" s="222" t="s">
        <v>81</v>
      </c>
      <c r="CG28" s="223"/>
      <c r="CH28" s="224"/>
      <c r="CI28" s="103"/>
      <c r="CJ28" s="225" t="s">
        <v>82</v>
      </c>
      <c r="CK28" s="226"/>
      <c r="CL28" s="227"/>
      <c r="CM28" s="103"/>
      <c r="CN28" s="228" t="s">
        <v>83</v>
      </c>
      <c r="CO28" s="229"/>
      <c r="CP28" s="230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5"/>
        <v>1358.7288223687872</v>
      </c>
      <c r="DS28" s="138">
        <f t="shared" si="16"/>
        <v>212.96540244540131</v>
      </c>
      <c r="DT28" s="138">
        <f t="shared" si="17"/>
        <v>1145.7634199233858</v>
      </c>
      <c r="DU28" s="138">
        <f t="shared" si="18"/>
        <v>49965.933166972922</v>
      </c>
      <c r="DV28" s="20"/>
    </row>
    <row r="29" spans="1:159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7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29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5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0"/>
        <v>Depreciation Expense</v>
      </c>
      <c r="BX29" s="12">
        <f t="shared" si="30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5"/>
        <v>1358.7288223687872</v>
      </c>
      <c r="DS29" s="138">
        <f t="shared" si="16"/>
        <v>208.19138819572052</v>
      </c>
      <c r="DT29" s="138">
        <f t="shared" si="17"/>
        <v>1150.5374341730667</v>
      </c>
      <c r="DU29" s="138">
        <f t="shared" si="18"/>
        <v>48815.395732799858</v>
      </c>
    </row>
    <row r="30" spans="1:159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7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29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5"/>
        <v>1600</v>
      </c>
      <c r="BN30" s="26"/>
      <c r="BO30" s="76"/>
      <c r="BP30" s="76"/>
      <c r="BQ30" s="2">
        <f t="shared" ref="BQ30:BQ31" si="31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0"/>
        <v>Insurance Expense</v>
      </c>
      <c r="BX30" s="12">
        <f t="shared" si="30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5"/>
        <v>1358.7288223687872</v>
      </c>
      <c r="DS30" s="138">
        <f t="shared" si="16"/>
        <v>203.39748221999943</v>
      </c>
      <c r="DT30" s="138">
        <f t="shared" si="17"/>
        <v>1155.3313401487878</v>
      </c>
      <c r="DU30" s="138">
        <f t="shared" si="18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M30" s="20"/>
      <c r="EN30" s="20"/>
    </row>
    <row r="31" spans="1:159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7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29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5"/>
        <v>1600</v>
      </c>
      <c r="BO31" s="15"/>
      <c r="BP31" s="15"/>
      <c r="BQ31" s="2">
        <f t="shared" si="31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0"/>
        <v>Interest Expense</v>
      </c>
      <c r="BX31" s="12">
        <f t="shared" si="30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5"/>
        <v>1358.7288223687872</v>
      </c>
      <c r="DS31" s="138">
        <f t="shared" si="16"/>
        <v>198.5836016360461</v>
      </c>
      <c r="DT31" s="138">
        <f t="shared" si="17"/>
        <v>1160.1452207327411</v>
      </c>
      <c r="DU31" s="138">
        <f t="shared" si="18"/>
        <v>46499.919171918329</v>
      </c>
    </row>
    <row r="32" spans="1:159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7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2">+BI31+SUM(BG32:BH32)</f>
        <v>-2000.4</v>
      </c>
      <c r="BK32" s="76"/>
      <c r="BL32" s="76"/>
      <c r="BM32" s="2">
        <f t="shared" si="25"/>
        <v>1600</v>
      </c>
      <c r="BO32" s="16"/>
      <c r="BP32" s="16"/>
      <c r="BQ32" s="16"/>
      <c r="BS32" s="76"/>
      <c r="BT32" s="76"/>
      <c r="BU32" s="2">
        <f t="shared" ref="BU32:BU33" si="33">+BU31+SUM(BS32:BT32)</f>
        <v>648</v>
      </c>
      <c r="BW32" s="29" t="str">
        <f t="shared" si="30"/>
        <v>Internet Expense</v>
      </c>
      <c r="BX32" s="12">
        <f t="shared" si="30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5"/>
        <v>1358.7288223687872</v>
      </c>
      <c r="DS32" s="138">
        <f t="shared" si="16"/>
        <v>193.74966321632635</v>
      </c>
      <c r="DT32" s="138">
        <f t="shared" si="17"/>
        <v>1164.9791591524609</v>
      </c>
      <c r="DU32" s="138">
        <f t="shared" si="18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2"/>
        <v>-2000.4</v>
      </c>
      <c r="BK33" s="76"/>
      <c r="BL33" s="76"/>
      <c r="BM33" s="2">
        <f t="shared" si="25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3"/>
        <v>648</v>
      </c>
      <c r="BW33" s="29" t="str">
        <f t="shared" si="30"/>
        <v>Misc. Expense</v>
      </c>
      <c r="BX33" s="12">
        <f t="shared" si="30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5"/>
        <v>1358.7288223687872</v>
      </c>
      <c r="DS33" s="138">
        <f t="shared" si="16"/>
        <v>188.89558338652444</v>
      </c>
      <c r="DT33" s="138">
        <f t="shared" si="17"/>
        <v>1169.8332389822626</v>
      </c>
      <c r="DU33" s="138">
        <f t="shared" si="18"/>
        <v>44165.106773783606</v>
      </c>
      <c r="DW33" s="199"/>
      <c r="DX33" s="200"/>
      <c r="DY33" s="200"/>
      <c r="DZ33" s="200"/>
      <c r="EC33" s="200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4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2"/>
        <v>-2000.4</v>
      </c>
      <c r="BK34" s="76"/>
      <c r="BL34" s="76"/>
      <c r="BM34" s="2">
        <f t="shared" si="25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0"/>
        <v>Office Supplies</v>
      </c>
      <c r="BX34" s="12">
        <f t="shared" si="30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5"/>
        <v>1358.7288223687872</v>
      </c>
      <c r="DS34" s="138">
        <f t="shared" si="16"/>
        <v>184.02127822409838</v>
      </c>
      <c r="DT34" s="138">
        <f t="shared" si="17"/>
        <v>1174.7075441446889</v>
      </c>
      <c r="DU34" s="138">
        <f t="shared" si="18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4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2"/>
        <v>-2000.4</v>
      </c>
      <c r="BK35" s="16"/>
      <c r="BL35" s="16"/>
      <c r="BM35" s="16"/>
      <c r="BO35" s="1" t="s">
        <v>15</v>
      </c>
      <c r="BP35" s="2"/>
      <c r="BQ35" s="2">
        <f>+'Jan Close'!I33</f>
        <v>80</v>
      </c>
      <c r="BS35" s="48" t="str">
        <f>+AJ37</f>
        <v>Interest Income</v>
      </c>
      <c r="BT35" s="49"/>
      <c r="BU35" s="50"/>
      <c r="BW35" s="29" t="str">
        <f t="shared" si="30"/>
        <v>Payroll Expenses</v>
      </c>
      <c r="BX35" s="12">
        <f t="shared" si="30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5"/>
        <v>1358.7288223687872</v>
      </c>
      <c r="DS35" s="138">
        <f t="shared" si="16"/>
        <v>179.12666345682885</v>
      </c>
      <c r="DT35" s="138">
        <f t="shared" si="17"/>
        <v>1179.6021589119582</v>
      </c>
      <c r="DU35" s="138">
        <f t="shared" si="18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4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30"/>
        <v>Telephone Expense</v>
      </c>
      <c r="BX36" s="12">
        <f t="shared" si="30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5"/>
        <v>1358.7288223687872</v>
      </c>
      <c r="DS36" s="138">
        <f t="shared" si="16"/>
        <v>174.21165446136237</v>
      </c>
      <c r="DT36" s="138">
        <f t="shared" si="17"/>
        <v>1184.5171679074249</v>
      </c>
      <c r="DU36" s="138">
        <f t="shared" si="18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4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5">+BA36+SUM(AY37:AZ37)</f>
        <v>0</v>
      </c>
      <c r="BC37" s="15"/>
      <c r="BD37" s="15"/>
      <c r="BE37" s="57">
        <f t="shared" ref="BE37" si="36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7">+BQ36+SUM(BO37:BP37)</f>
        <v>80</v>
      </c>
      <c r="BS37" s="1" t="s">
        <v>15</v>
      </c>
      <c r="BT37" s="2"/>
      <c r="BU37" s="2">
        <f>+'Jan Close'!I38</f>
        <v>0</v>
      </c>
      <c r="BW37" s="29" t="str">
        <f t="shared" si="30"/>
        <v>Utilities</v>
      </c>
      <c r="BX37" s="12">
        <f t="shared" si="30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5"/>
        <v>1358.7288223687872</v>
      </c>
      <c r="DS37" s="138">
        <f t="shared" si="16"/>
        <v>169.27616626174807</v>
      </c>
      <c r="DT37" s="138">
        <f t="shared" si="17"/>
        <v>1189.452656107039</v>
      </c>
      <c r="DU37" s="138">
        <f t="shared" si="18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4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5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15</v>
      </c>
      <c r="BO38" s="15"/>
      <c r="BP38" s="15"/>
      <c r="BQ38" s="2">
        <f t="shared" si="37"/>
        <v>80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7678.7995000000001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5"/>
        <v>1358.7288223687872</v>
      </c>
      <c r="DS38" s="138">
        <f t="shared" si="16"/>
        <v>164.32011352796874</v>
      </c>
      <c r="DT38" s="138">
        <f t="shared" si="17"/>
        <v>1194.4087088408185</v>
      </c>
      <c r="DU38" s="138">
        <f t="shared" si="18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-6771.6004999999996</v>
      </c>
      <c r="AQ39" s="15"/>
      <c r="AR39" s="15"/>
      <c r="AS39" s="56">
        <f t="shared" si="34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5"/>
        <v>0</v>
      </c>
      <c r="BG39" s="58" t="s">
        <v>15</v>
      </c>
      <c r="BH39" s="9"/>
      <c r="BI39" s="3">
        <f>'Jan Close'!I25</f>
        <v>0</v>
      </c>
      <c r="BK39" s="15"/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8">+BU38+SUM(BS39:BT39)</f>
        <v>-250</v>
      </c>
      <c r="BW39" s="12" t="s">
        <v>74</v>
      </c>
      <c r="BX39" s="12"/>
      <c r="BY39" s="12">
        <f>+BY26-BY38</f>
        <v>6521.6004999999996</v>
      </c>
      <c r="CE39" s="100" t="s">
        <v>91</v>
      </c>
      <c r="CF39" s="222" t="s">
        <v>81</v>
      </c>
      <c r="CG39" s="223"/>
      <c r="CH39" s="224"/>
      <c r="CI39" s="103"/>
      <c r="CJ39" s="225" t="s">
        <v>82</v>
      </c>
      <c r="CK39" s="226"/>
      <c r="CL39" s="227"/>
      <c r="CM39" s="103"/>
      <c r="CN39" s="228" t="s">
        <v>83</v>
      </c>
      <c r="CO39" s="229"/>
      <c r="CP39" s="230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5"/>
        <v>1358.7288223687872</v>
      </c>
      <c r="DS39" s="138">
        <f t="shared" si="16"/>
        <v>159.34341057446534</v>
      </c>
      <c r="DT39" s="138">
        <f t="shared" si="17"/>
        <v>1199.385411794322</v>
      </c>
      <c r="DU39" s="138">
        <f t="shared" si="18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4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39">+BM39+SUM(BK40:BL40)</f>
        <v>15</v>
      </c>
      <c r="BO40" s="16"/>
      <c r="BP40" s="16"/>
      <c r="BQ40" s="16"/>
      <c r="BS40" s="15"/>
      <c r="BT40" s="15"/>
      <c r="BU40" s="2">
        <f t="shared" si="38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5"/>
        <v>1358.7288223687872</v>
      </c>
      <c r="DS40" s="138">
        <f t="shared" si="16"/>
        <v>154.34597135865567</v>
      </c>
      <c r="DT40" s="138">
        <f t="shared" si="17"/>
        <v>1204.3828510101316</v>
      </c>
      <c r="DU40" s="138">
        <f t="shared" si="18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4"/>
        <v>1713</v>
      </c>
      <c r="AT41" s="20"/>
      <c r="BG41" s="22"/>
      <c r="BH41" s="22"/>
      <c r="BI41" s="22"/>
      <c r="BK41" s="15"/>
      <c r="BL41" s="15"/>
      <c r="BM41" s="2">
        <f t="shared" si="39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5"/>
        <v>1358.7288223687872</v>
      </c>
      <c r="DS41" s="138">
        <f t="shared" si="16"/>
        <v>149.32770947944678</v>
      </c>
      <c r="DT41" s="138">
        <f t="shared" si="17"/>
        <v>1209.4011128893403</v>
      </c>
      <c r="DU41" s="138">
        <f t="shared" si="18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6771.6004999999996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5"/>
        <v>1358.7288223687872</v>
      </c>
      <c r="DS42" s="138">
        <f t="shared" si="16"/>
        <v>144.28853817574122</v>
      </c>
      <c r="DT42" s="138">
        <f t="shared" si="17"/>
        <v>1214.440284193046</v>
      </c>
      <c r="DU42" s="138">
        <f t="shared" si="18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5"/>
        <v>1358.7288223687872</v>
      </c>
      <c r="DS43" s="138">
        <f t="shared" si="16"/>
        <v>139.22837032493689</v>
      </c>
      <c r="DT43" s="138">
        <f t="shared" si="17"/>
        <v>1219.5004520438504</v>
      </c>
      <c r="DU43" s="138">
        <f t="shared" si="18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5"/>
        <v>1358.7288223687872</v>
      </c>
      <c r="DS44" s="138">
        <f t="shared" si="16"/>
        <v>134.14711844142084</v>
      </c>
      <c r="DT44" s="138">
        <f t="shared" si="17"/>
        <v>1224.5817039273663</v>
      </c>
      <c r="DU44" s="138">
        <f t="shared" si="18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144175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5"/>
        <v>1358.7288223687872</v>
      </c>
      <c r="DS45" s="138">
        <f t="shared" si="16"/>
        <v>129.0446946750568</v>
      </c>
      <c r="DT45" s="138">
        <f t="shared" si="17"/>
        <v>1229.6841276937303</v>
      </c>
      <c r="DU45" s="138">
        <f t="shared" si="18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5"/>
        <v>1358.7288223687872</v>
      </c>
      <c r="DS46" s="138">
        <f t="shared" si="16"/>
        <v>123.92101080966626</v>
      </c>
      <c r="DT46" s="138">
        <f t="shared" si="17"/>
        <v>1234.8078115591209</v>
      </c>
      <c r="DU46" s="138">
        <f t="shared" si="18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6771.6004999999996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5"/>
        <v>1358.7288223687872</v>
      </c>
      <c r="DS47" s="138">
        <f t="shared" si="16"/>
        <v>118.77597826150327</v>
      </c>
      <c r="DT47" s="138">
        <f t="shared" si="17"/>
        <v>1239.9528441072839</v>
      </c>
      <c r="DU47" s="138">
        <f t="shared" si="18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5"/>
        <v>1358.7288223687872</v>
      </c>
      <c r="DS48" s="138">
        <f t="shared" si="16"/>
        <v>113.60950807772292</v>
      </c>
      <c r="DT48" s="138">
        <f t="shared" si="17"/>
        <v>1245.1193142910643</v>
      </c>
      <c r="DU48" s="138">
        <f t="shared" si="18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6771.6004999999996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5"/>
        <v>1358.7288223687872</v>
      </c>
      <c r="DS49" s="138">
        <f t="shared" si="16"/>
        <v>108.42151093484348</v>
      </c>
      <c r="DT49" s="138">
        <f t="shared" si="17"/>
        <v>1250.3073114339436</v>
      </c>
      <c r="DU49" s="138">
        <f t="shared" si="18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5"/>
        <v>1358.7288223687872</v>
      </c>
      <c r="DS50" s="138">
        <f t="shared" si="16"/>
        <v>103.21189713720206</v>
      </c>
      <c r="DT50" s="138">
        <f t="shared" si="17"/>
        <v>1255.5169252315852</v>
      </c>
      <c r="DU50" s="138">
        <f t="shared" si="18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5"/>
        <v>1358.7288223687872</v>
      </c>
      <c r="DS51" s="138">
        <f t="shared" si="16"/>
        <v>97.980576615403777</v>
      </c>
      <c r="DT51" s="138">
        <f t="shared" si="17"/>
        <v>1260.7482457533833</v>
      </c>
      <c r="DU51" s="138">
        <f t="shared" si="18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22" t="s">
        <v>81</v>
      </c>
      <c r="CG52" s="223"/>
      <c r="CH52" s="224"/>
      <c r="CI52" s="103"/>
      <c r="CJ52" s="225" t="s">
        <v>82</v>
      </c>
      <c r="CK52" s="226"/>
      <c r="CL52" s="227"/>
      <c r="CM52" s="103"/>
      <c r="CN52" s="228" t="s">
        <v>83</v>
      </c>
      <c r="CO52" s="229"/>
      <c r="CP52" s="230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5"/>
        <v>1358.7288223687872</v>
      </c>
      <c r="DS52" s="138">
        <f t="shared" si="16"/>
        <v>92.727458924764676</v>
      </c>
      <c r="DT52" s="138">
        <f t="shared" si="17"/>
        <v>1266.0013634440224</v>
      </c>
      <c r="DU52" s="138">
        <f t="shared" si="18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5"/>
        <v>1358.7288223687872</v>
      </c>
      <c r="DS53" s="138">
        <f t="shared" si="16"/>
        <v>87.452453243747925</v>
      </c>
      <c r="DT53" s="138">
        <f t="shared" si="17"/>
        <v>1271.2763691250393</v>
      </c>
      <c r="DU53" s="138">
        <f t="shared" si="18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5"/>
        <v>1358.7288223687872</v>
      </c>
      <c r="DS54" s="138">
        <f t="shared" si="16"/>
        <v>82.155468372393585</v>
      </c>
      <c r="DT54" s="138">
        <f t="shared" si="17"/>
        <v>1276.5733539963935</v>
      </c>
      <c r="DU54" s="138">
        <f t="shared" si="18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5"/>
        <v>1358.7288223687872</v>
      </c>
      <c r="DS55" s="138">
        <f t="shared" si="16"/>
        <v>76.836412730741941</v>
      </c>
      <c r="DT55" s="138">
        <f t="shared" si="17"/>
        <v>1281.8924096380451</v>
      </c>
      <c r="DU55" s="138">
        <f t="shared" si="18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5"/>
        <v>1358.7288223687872</v>
      </c>
      <c r="DS56" s="138">
        <f t="shared" si="16"/>
        <v>71.495194357250099</v>
      </c>
      <c r="DT56" s="138">
        <f t="shared" si="17"/>
        <v>1287.2336280115371</v>
      </c>
      <c r="DU56" s="138">
        <f t="shared" si="18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5"/>
        <v>1358.7288223687872</v>
      </c>
      <c r="DS57" s="138">
        <f t="shared" si="16"/>
        <v>66.131720907202023</v>
      </c>
      <c r="DT57" s="138">
        <f t="shared" si="17"/>
        <v>1292.5971014615852</v>
      </c>
      <c r="DU57" s="138">
        <f t="shared" si="18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5"/>
        <v>1358.7288223687872</v>
      </c>
      <c r="DS58" s="138">
        <f t="shared" si="16"/>
        <v>60.745899651112076</v>
      </c>
      <c r="DT58" s="138">
        <f t="shared" si="17"/>
        <v>1297.9829227176751</v>
      </c>
      <c r="DU58" s="138">
        <f t="shared" si="18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5"/>
        <v>1358.7288223687872</v>
      </c>
      <c r="DS59" s="138">
        <f t="shared" si="16"/>
        <v>55.337637473121767</v>
      </c>
      <c r="DT59" s="138">
        <f t="shared" si="17"/>
        <v>1303.3911848956654</v>
      </c>
      <c r="DU59" s="138">
        <f t="shared" si="18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5"/>
        <v>1358.7288223687872</v>
      </c>
      <c r="DS60" s="138">
        <f t="shared" si="16"/>
        <v>49.906840869389832</v>
      </c>
      <c r="DT60" s="138">
        <f t="shared" si="17"/>
        <v>1308.8219814993975</v>
      </c>
      <c r="DU60" s="138">
        <f t="shared" si="18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5"/>
        <v>1358.7288223687872</v>
      </c>
      <c r="DS61" s="138">
        <f t="shared" si="16"/>
        <v>44.453415946475673</v>
      </c>
      <c r="DT61" s="138">
        <f t="shared" si="17"/>
        <v>1314.2754064223116</v>
      </c>
      <c r="DU61" s="138">
        <f t="shared" si="18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5"/>
        <v>1358.7288223687872</v>
      </c>
      <c r="DS62" s="138">
        <f t="shared" si="16"/>
        <v>38.97726841971604</v>
      </c>
      <c r="DT62" s="138">
        <f t="shared" si="17"/>
        <v>1319.7515539490712</v>
      </c>
      <c r="DU62" s="138">
        <f t="shared" si="18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22" t="s">
        <v>81</v>
      </c>
      <c r="CG63" s="223"/>
      <c r="CH63" s="224"/>
      <c r="CI63" s="103"/>
      <c r="CJ63" s="225" t="s">
        <v>82</v>
      </c>
      <c r="CK63" s="226"/>
      <c r="CL63" s="227"/>
      <c r="CM63" s="103"/>
      <c r="CN63" s="228" t="s">
        <v>83</v>
      </c>
      <c r="CO63" s="229"/>
      <c r="CP63" s="230"/>
      <c r="DQ63" s="154">
        <v>55</v>
      </c>
      <c r="DR63" s="138">
        <f t="shared" si="15"/>
        <v>1358.7288223687872</v>
      </c>
      <c r="DS63" s="138">
        <f t="shared" si="16"/>
        <v>33.478303611594903</v>
      </c>
      <c r="DT63" s="138">
        <f t="shared" si="17"/>
        <v>1325.2505187571924</v>
      </c>
      <c r="DU63" s="138">
        <f t="shared" si="18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5"/>
        <v>1358.7288223687872</v>
      </c>
      <c r="DS64" s="138">
        <f t="shared" si="16"/>
        <v>27.956426450106605</v>
      </c>
      <c r="DT64" s="138">
        <f t="shared" si="17"/>
        <v>1330.7723959186806</v>
      </c>
      <c r="DU64" s="138">
        <f t="shared" si="18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5"/>
        <v>1358.7288223687872</v>
      </c>
      <c r="DS65" s="138">
        <f t="shared" si="16"/>
        <v>22.411541467112102</v>
      </c>
      <c r="DT65" s="138">
        <f t="shared" si="17"/>
        <v>1336.3172809016751</v>
      </c>
      <c r="DU65" s="138">
        <f t="shared" si="18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5"/>
        <v>1358.7288223687872</v>
      </c>
      <c r="DS66" s="138">
        <f t="shared" si="16"/>
        <v>16.843552796688456</v>
      </c>
      <c r="DT66" s="138">
        <f t="shared" si="17"/>
        <v>1341.8852695720987</v>
      </c>
      <c r="DU66" s="138">
        <f t="shared" si="18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5"/>
        <v>1358.7288223687872</v>
      </c>
      <c r="DS67" s="138">
        <f t="shared" si="16"/>
        <v>11.252364173471378</v>
      </c>
      <c r="DT67" s="138">
        <f t="shared" si="17"/>
        <v>1347.4764581953159</v>
      </c>
      <c r="DU67" s="138">
        <f t="shared" si="18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5"/>
        <v>1358.7288223687872</v>
      </c>
      <c r="DS68" s="138">
        <f t="shared" si="16"/>
        <v>5.6378789309908939</v>
      </c>
      <c r="DT68" s="138">
        <f t="shared" si="17"/>
        <v>1353.0909434377963</v>
      </c>
      <c r="DU68" s="138">
        <f t="shared" si="18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6771.6004999999996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6771.6004999999996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22" t="s">
        <v>81</v>
      </c>
      <c r="CG74" s="223"/>
      <c r="CH74" s="224"/>
      <c r="CI74" s="103"/>
      <c r="CJ74" s="225" t="s">
        <v>82</v>
      </c>
      <c r="CK74" s="226"/>
      <c r="CL74" s="227"/>
      <c r="CM74" s="103"/>
      <c r="CN74" s="228" t="s">
        <v>83</v>
      </c>
      <c r="CO74" s="229"/>
      <c r="CP74" s="230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22" t="s">
        <v>81</v>
      </c>
      <c r="CG85" s="223"/>
      <c r="CH85" s="224"/>
      <c r="CI85" s="103"/>
      <c r="CJ85" s="225" t="s">
        <v>82</v>
      </c>
      <c r="CK85" s="226"/>
      <c r="CL85" s="227"/>
      <c r="CM85" s="103"/>
      <c r="CN85" s="228" t="s">
        <v>83</v>
      </c>
      <c r="CO85" s="229"/>
      <c r="CP85" s="230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fjpGhIeC8+VlFUl5nt/6kPA0OMStVxuxhTJk/KmnN+yGfMt8il/RlQAj0Jkq/tccpaKWiff5FZa20G78TW5V4A==" saltValue="BqvtDL9l8wg+bEUWy+RXOg==" spinCount="100000" sheet="1" formatCells="0" formatColumns="0" formatRows="0" insertColumns="0" insertRows="0" insertHyperlinks="0" deleteColumns="0" deleteRows="0" selectLockedCells="1" sort="0" autoFilter="0" pivotTables="0"/>
  <mergeCells count="28">
    <mergeCell ref="AK3:AK4"/>
    <mergeCell ref="AL3:AO3"/>
    <mergeCell ref="AL1:AM1"/>
    <mergeCell ref="AL2:AM2"/>
    <mergeCell ref="CF2:CH2"/>
    <mergeCell ref="CJ2:CL2"/>
    <mergeCell ref="CN2:CP2"/>
    <mergeCell ref="CF17:CH17"/>
    <mergeCell ref="CJ17:CL17"/>
    <mergeCell ref="CN17:CP17"/>
    <mergeCell ref="CF28:CH28"/>
    <mergeCell ref="CJ28:CL28"/>
    <mergeCell ref="CN28:CP28"/>
    <mergeCell ref="CF39:CH39"/>
    <mergeCell ref="CJ39:CL39"/>
    <mergeCell ref="CN39:CP39"/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E42" sqref="E42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30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160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15020.799500000001</v>
      </c>
    </row>
    <row r="39" spans="1:3" x14ac:dyDescent="0.25">
      <c r="A39" s="12" t="s">
        <v>74</v>
      </c>
      <c r="B39" s="12"/>
      <c r="C39" s="12">
        <f>+C26-C38</f>
        <v>205.00049999999828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455.00049999999828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455.00049999999828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65455.000499999995</v>
      </c>
    </row>
    <row r="50" spans="1:3" x14ac:dyDescent="0.25">
      <c r="A50" s="12" t="s">
        <v>79</v>
      </c>
      <c r="B50" s="12"/>
      <c r="C50" s="143">
        <f>SUM(C45:C49)</f>
        <v>150852.00049999999</v>
      </c>
    </row>
    <row r="70" spans="1:3" x14ac:dyDescent="0.25">
      <c r="A70" s="12" t="s">
        <v>80</v>
      </c>
      <c r="B70" s="12">
        <f>+C42</f>
        <v>455.00049999999828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reALQM/bTLuRgqFAtazBMNXVuV8hFpF2OttDILsVy7T6u1sbmyNi8KEBVQn4nvzMyOz/jWunwxHlx/jt06yVWQ==" saltValue="3RX8L0USTEWQU43IGW8alA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2019-02-08T21:05:31Z</dcterms:modified>
</cp:coreProperties>
</file>