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bookViews>
    <workbookView xWindow="120" yWindow="45" windowWidth="7350" windowHeight="5220" tabRatio="817" activeTab="2"/>
  </bookViews>
  <sheets>
    <sheet name="Trial Balance" sheetId="103" r:id="rId1"/>
    <sheet name="Jan Close" sheetId="104" r:id="rId2"/>
    <sheet name="Trial Balance Feb" sheetId="106" r:id="rId3"/>
    <sheet name="Financial Statements two months" sheetId="107" r:id="rId4"/>
  </sheets>
  <externalReferences>
    <externalReference r:id="rId5"/>
  </externalReferences>
  <calcPr calcId="152511"/>
  <fileRecoveryPr autoRecover="0"/>
</workbook>
</file>

<file path=xl/calcChain.xml><?xml version="1.0" encoding="utf-8"?>
<calcChain xmlns="http://schemas.openxmlformats.org/spreadsheetml/2006/main">
  <c r="FE16" i="106" l="1"/>
  <c r="FE5" i="106" l="1"/>
  <c r="FE9" i="106" s="1"/>
  <c r="EK17" i="106"/>
  <c r="EX23" i="106" l="1"/>
  <c r="EX24" i="106" s="1"/>
  <c r="EK29" i="106"/>
  <c r="H33" i="104"/>
  <c r="H28" i="104"/>
  <c r="C31" i="104"/>
  <c r="AN27" i="103"/>
  <c r="BK39" i="103"/>
  <c r="W11" i="103"/>
  <c r="AN26" i="103"/>
  <c r="W8" i="103"/>
  <c r="BO36" i="103" s="1"/>
  <c r="ED22" i="106"/>
  <c r="EB6" i="106" s="1"/>
  <c r="DY22" i="106"/>
  <c r="EB5" i="106" s="1"/>
  <c r="EH4" i="106"/>
  <c r="EB7" i="106" l="1"/>
  <c r="ET27" i="106" l="1"/>
  <c r="ER6" i="106" s="1"/>
  <c r="EO27" i="106"/>
  <c r="ER5" i="106" s="1"/>
  <c r="ER7" i="106" l="1"/>
  <c r="B46" i="107" l="1"/>
  <c r="E5" i="107"/>
  <c r="E4" i="107"/>
  <c r="A4" i="107"/>
  <c r="A2" i="107"/>
  <c r="B71" i="107"/>
  <c r="AU29" i="106"/>
  <c r="X13" i="106"/>
  <c r="BH40" i="106" s="1"/>
  <c r="DL16" i="106" l="1"/>
  <c r="DI15" i="106"/>
  <c r="DJ15" i="106" s="1"/>
  <c r="DK14" i="106"/>
  <c r="DJ14" i="106"/>
  <c r="DM14" i="106" s="1"/>
  <c r="AY8" i="106"/>
  <c r="S33" i="106"/>
  <c r="BH10" i="106" s="1"/>
  <c r="R29" i="106"/>
  <c r="AQ23" i="106" s="1"/>
  <c r="R26" i="106"/>
  <c r="CR67" i="106" s="1"/>
  <c r="CT67" i="106" s="1"/>
  <c r="CT68" i="106" s="1"/>
  <c r="CT69" i="106" s="1"/>
  <c r="R23" i="106"/>
  <c r="S24" i="106" s="1"/>
  <c r="BL14" i="106" s="1"/>
  <c r="R20" i="106"/>
  <c r="AQ20" i="106" s="1"/>
  <c r="R17" i="106"/>
  <c r="AQ19" i="106" s="1"/>
  <c r="R14" i="106"/>
  <c r="AQ18" i="106" s="1"/>
  <c r="R11" i="106"/>
  <c r="CV46" i="106" s="1"/>
  <c r="CX46" i="106" s="1"/>
  <c r="CX47" i="106" s="1"/>
  <c r="CX48" i="106" s="1"/>
  <c r="R8" i="106"/>
  <c r="S9" i="106" s="1"/>
  <c r="BL9" i="106" s="1"/>
  <c r="R5" i="106"/>
  <c r="CV39" i="106" s="1"/>
  <c r="CX39" i="106" s="1"/>
  <c r="CX40" i="106" s="1"/>
  <c r="CX41" i="106" s="1"/>
  <c r="AQ16" i="106" l="1"/>
  <c r="AQ21" i="106"/>
  <c r="DK15" i="106"/>
  <c r="DO15" i="106" s="1"/>
  <c r="DO16" i="106" s="1"/>
  <c r="S12" i="106"/>
  <c r="BL10" i="106" s="1"/>
  <c r="S27" i="106"/>
  <c r="BL15" i="106" s="1"/>
  <c r="DN14" i="106"/>
  <c r="DI16" i="106"/>
  <c r="W5" i="106" s="1"/>
  <c r="BS15" i="106" s="1"/>
  <c r="AQ17" i="106"/>
  <c r="AQ22" i="106"/>
  <c r="DO14" i="106"/>
  <c r="DN15" i="106"/>
  <c r="DN16" i="106" s="1"/>
  <c r="W9" i="106" s="1"/>
  <c r="DM15" i="106"/>
  <c r="DM16" i="106" s="1"/>
  <c r="X7" i="106" s="1"/>
  <c r="AN17" i="106" s="1"/>
  <c r="CR53" i="106"/>
  <c r="CT53" i="106" s="1"/>
  <c r="CT54" i="106" s="1"/>
  <c r="CT55" i="106" s="1"/>
  <c r="CV67" i="106"/>
  <c r="CX67" i="106" s="1"/>
  <c r="CX68" i="106" s="1"/>
  <c r="CX69" i="106" s="1"/>
  <c r="S6" i="106"/>
  <c r="BL8" i="106" s="1"/>
  <c r="AQ15" i="106"/>
  <c r="S15" i="106"/>
  <c r="BL11" i="106" s="1"/>
  <c r="CV53" i="106"/>
  <c r="CX53" i="106" s="1"/>
  <c r="CX54" i="106" s="1"/>
  <c r="CX55" i="106" s="1"/>
  <c r="CR60" i="106"/>
  <c r="CT60" i="106" s="1"/>
  <c r="CT61" i="106" s="1"/>
  <c r="CT62" i="106" s="1"/>
  <c r="S30" i="106"/>
  <c r="BL16" i="106" s="1"/>
  <c r="DJ16" i="106"/>
  <c r="CR46" i="106"/>
  <c r="CT46" i="106" s="1"/>
  <c r="CT47" i="106" s="1"/>
  <c r="CT48" i="106" s="1"/>
  <c r="S18" i="106"/>
  <c r="BL12" i="106" s="1"/>
  <c r="S21" i="106"/>
  <c r="BL13" i="106" s="1"/>
  <c r="CV60" i="106"/>
  <c r="CX60" i="106" s="1"/>
  <c r="CX61" i="106" s="1"/>
  <c r="CX62" i="106" s="1"/>
  <c r="AN16" i="106"/>
  <c r="M29" i="106"/>
  <c r="AY21" i="106" s="1"/>
  <c r="BS31" i="106"/>
  <c r="N27" i="106"/>
  <c r="DA22" i="106" s="1"/>
  <c r="DB22" i="106" s="1"/>
  <c r="DB23" i="106" s="1"/>
  <c r="BO29" i="106"/>
  <c r="N24" i="106"/>
  <c r="DE16" i="106" s="1"/>
  <c r="DF16" i="106" s="1"/>
  <c r="DF17" i="106" s="1"/>
  <c r="BS24" i="106"/>
  <c r="N21" i="106"/>
  <c r="AZ18" i="106" s="1"/>
  <c r="AZ19" i="106" l="1"/>
  <c r="AZ20" i="106"/>
  <c r="DK16" i="106"/>
  <c r="X6" i="106" s="1"/>
  <c r="BD17" i="106" s="1"/>
  <c r="BS16" i="106"/>
  <c r="X10" i="106"/>
  <c r="BD18" i="106" s="1"/>
  <c r="DA16" i="106"/>
  <c r="AN15" i="106"/>
  <c r="M17" i="106"/>
  <c r="BC16" i="106" s="1"/>
  <c r="AN14" i="106" l="1"/>
  <c r="FA11" i="106" s="1"/>
  <c r="M14" i="106"/>
  <c r="BC29" i="106" s="1"/>
  <c r="AM13" i="106"/>
  <c r="EZ10" i="106" s="1"/>
  <c r="N12" i="106"/>
  <c r="AV28" i="106" s="1"/>
  <c r="AU27" i="106"/>
  <c r="N9" i="106"/>
  <c r="CS12" i="106" s="1"/>
  <c r="AU26" i="106"/>
  <c r="N6" i="106"/>
  <c r="CS27" i="106" s="1"/>
  <c r="AR13" i="106" l="1"/>
  <c r="AR14" i="106"/>
  <c r="AN12" i="106"/>
  <c r="FA9" i="106" s="1"/>
  <c r="H29" i="106"/>
  <c r="DD8" i="106" s="1"/>
  <c r="AU25" i="106"/>
  <c r="I27" i="106"/>
  <c r="CW32" i="106" s="1"/>
  <c r="CX32" i="106" s="1"/>
  <c r="CX33" i="106" s="1"/>
  <c r="CX34" i="106" s="1"/>
  <c r="AQ37" i="106"/>
  <c r="BK25" i="106"/>
  <c r="I24" i="106"/>
  <c r="CL68" i="106"/>
  <c r="BH32" i="106"/>
  <c r="H19" i="106"/>
  <c r="AQ11" i="106" s="1"/>
  <c r="BK24" i="106"/>
  <c r="CO21" i="106"/>
  <c r="CN21" i="106"/>
  <c r="I17" i="106"/>
  <c r="AR36" i="106" s="1"/>
  <c r="CK21" i="106"/>
  <c r="CL21" i="106" s="1"/>
  <c r="BH31" i="106"/>
  <c r="H12" i="106"/>
  <c r="AQ10" i="106" s="1"/>
  <c r="BK23" i="106"/>
  <c r="I10" i="106"/>
  <c r="AR35" i="106" s="1"/>
  <c r="BH30" i="106"/>
  <c r="H5" i="106"/>
  <c r="AQ9" i="106" s="1"/>
  <c r="CR26" i="106" l="1"/>
  <c r="I14" i="106"/>
  <c r="BD27" i="106" s="1"/>
  <c r="CP21" i="106"/>
  <c r="AR12" i="106"/>
  <c r="AY17" i="106"/>
  <c r="I7" i="106"/>
  <c r="BD26" i="106" s="1"/>
  <c r="CR11" i="106"/>
  <c r="I21" i="106"/>
  <c r="BD28" i="106" s="1"/>
  <c r="CR20" i="106"/>
  <c r="CO10" i="106"/>
  <c r="CN10" i="106"/>
  <c r="CN11" i="106" s="1"/>
  <c r="CH10" i="106"/>
  <c r="AQ33" i="106"/>
  <c r="D21" i="106"/>
  <c r="DA9" i="106" s="1"/>
  <c r="AZ16" i="106" l="1"/>
  <c r="CO11" i="106"/>
  <c r="CP11" i="106" s="1"/>
  <c r="CK11" i="106"/>
  <c r="CL11" i="106" s="1"/>
  <c r="CP10" i="106"/>
  <c r="AU24" i="106"/>
  <c r="D34" i="106"/>
  <c r="CS10" i="106" s="1"/>
  <c r="AM11" i="106"/>
  <c r="EZ8" i="106" s="1"/>
  <c r="D31" i="106"/>
  <c r="AV23" i="106" s="1"/>
  <c r="BK22" i="106"/>
  <c r="D28" i="106"/>
  <c r="AR34" i="106" s="1"/>
  <c r="CL9" i="106"/>
  <c r="BH29" i="106"/>
  <c r="C23" i="106"/>
  <c r="D25" i="106" s="1"/>
  <c r="BD25" i="106" s="1"/>
  <c r="AU22" i="106" l="1"/>
  <c r="AR8" i="106"/>
  <c r="CO88" i="106"/>
  <c r="CN88" i="106"/>
  <c r="CH88" i="106"/>
  <c r="AQ32" i="106"/>
  <c r="D18" i="106"/>
  <c r="DE7" i="106" s="1"/>
  <c r="CP88" i="106" l="1"/>
  <c r="AZ15" i="106"/>
  <c r="AV15" i="106"/>
  <c r="AM10" i="106"/>
  <c r="EZ7" i="106" s="1"/>
  <c r="D15" i="106"/>
  <c r="BT38" i="106" s="1"/>
  <c r="AN9" i="106" l="1"/>
  <c r="FA6" i="106" s="1"/>
  <c r="BO23" i="106"/>
  <c r="BG9" i="106"/>
  <c r="AN8" i="106"/>
  <c r="BO22" i="106"/>
  <c r="BG8" i="106"/>
  <c r="DS9" i="106"/>
  <c r="DT5" i="106"/>
  <c r="DR9" i="106" s="1"/>
  <c r="CO77" i="106"/>
  <c r="CK78" i="106" s="1"/>
  <c r="CL78" i="106" s="1"/>
  <c r="CN77" i="106"/>
  <c r="CN78" i="106" s="1"/>
  <c r="CH77" i="106"/>
  <c r="CO67" i="106"/>
  <c r="CO68" i="106" s="1"/>
  <c r="CN67" i="106"/>
  <c r="CN68" i="106" s="1"/>
  <c r="CK67" i="106"/>
  <c r="CL67" i="106" s="1"/>
  <c r="CP66" i="106"/>
  <c r="CO56" i="106"/>
  <c r="CN56" i="106"/>
  <c r="CL56" i="106"/>
  <c r="CP55" i="106"/>
  <c r="CO43" i="106"/>
  <c r="CN43" i="106"/>
  <c r="CL43" i="106"/>
  <c r="CP42" i="106"/>
  <c r="BW41" i="106"/>
  <c r="A41" i="107" s="1"/>
  <c r="BW37" i="106"/>
  <c r="A37" i="107" s="1"/>
  <c r="BG37" i="106"/>
  <c r="BW36" i="106"/>
  <c r="A36" i="107" s="1"/>
  <c r="BK36" i="106"/>
  <c r="CT39" i="106"/>
  <c r="CT40" i="106" s="1"/>
  <c r="CT41" i="106" s="1"/>
  <c r="BW35" i="106"/>
  <c r="A35" i="107" s="1"/>
  <c r="BS35" i="106"/>
  <c r="BW34" i="106"/>
  <c r="A34" i="107" s="1"/>
  <c r="AU34" i="106"/>
  <c r="BW33" i="106"/>
  <c r="A33" i="107" s="1"/>
  <c r="BO33" i="106"/>
  <c r="BC33" i="106"/>
  <c r="AY33" i="106"/>
  <c r="BW32" i="106"/>
  <c r="A32" i="107" s="1"/>
  <c r="CP31" i="106"/>
  <c r="BW31" i="106"/>
  <c r="A31" i="107" s="1"/>
  <c r="BW30" i="106"/>
  <c r="A30" i="107" s="1"/>
  <c r="BW29" i="106"/>
  <c r="A29" i="107" s="1"/>
  <c r="CT32" i="106"/>
  <c r="CT33" i="106" s="1"/>
  <c r="CT34" i="106" s="1"/>
  <c r="BW28" i="106"/>
  <c r="A28" i="107" s="1"/>
  <c r="BS28" i="106"/>
  <c r="AY27" i="106"/>
  <c r="BO26" i="106"/>
  <c r="BG26" i="106"/>
  <c r="BW23" i="106"/>
  <c r="A23" i="107" s="1"/>
  <c r="BW22" i="106"/>
  <c r="A22" i="107" s="1"/>
  <c r="BC22" i="106"/>
  <c r="CX25" i="106"/>
  <c r="CT25" i="106"/>
  <c r="CT26" i="106" s="1"/>
  <c r="CT27" i="106" s="1"/>
  <c r="BW21" i="106"/>
  <c r="A21" i="107" s="1"/>
  <c r="BS21" i="106"/>
  <c r="AQ29" i="106"/>
  <c r="CP20" i="106"/>
  <c r="BO19" i="106"/>
  <c r="BK19" i="106"/>
  <c r="AU19" i="106"/>
  <c r="BG17" i="106"/>
  <c r="CA15" i="106"/>
  <c r="E15" i="107" s="1"/>
  <c r="DB16" i="106"/>
  <c r="DB17" i="106" s="1"/>
  <c r="CX18" i="106"/>
  <c r="CX19" i="106" s="1"/>
  <c r="CX20" i="106" s="1"/>
  <c r="CX21" i="106" s="1"/>
  <c r="CT18" i="106"/>
  <c r="BC13" i="106"/>
  <c r="CA12" i="106"/>
  <c r="E12" i="107" s="1"/>
  <c r="BW12" i="106"/>
  <c r="A12" i="107" s="1"/>
  <c r="BS12" i="106"/>
  <c r="BO12" i="106"/>
  <c r="BG12" i="106"/>
  <c r="AY12" i="106"/>
  <c r="AU12" i="106"/>
  <c r="CA10" i="106"/>
  <c r="E10" i="107" s="1"/>
  <c r="CA9" i="106"/>
  <c r="E9" i="107" s="1"/>
  <c r="BW9" i="106"/>
  <c r="A9" i="107" s="1"/>
  <c r="DL8" i="106"/>
  <c r="DK8" i="106"/>
  <c r="DJ8" i="106"/>
  <c r="DI8" i="106"/>
  <c r="CL8" i="106"/>
  <c r="CA8" i="106"/>
  <c r="E8" i="107" s="1"/>
  <c r="BW8" i="106"/>
  <c r="A8" i="107" s="1"/>
  <c r="DO7" i="106"/>
  <c r="DN7" i="106"/>
  <c r="DM7" i="106"/>
  <c r="DF7" i="106"/>
  <c r="DF8" i="106" s="1"/>
  <c r="DB7" i="106"/>
  <c r="DB8" i="106" s="1"/>
  <c r="DB9" i="106" s="1"/>
  <c r="DB10" i="106" s="1"/>
  <c r="DB11" i="106" s="1"/>
  <c r="CN7" i="106"/>
  <c r="CN8" i="106" s="1"/>
  <c r="CN9" i="106" s="1"/>
  <c r="CA7" i="106"/>
  <c r="E7" i="107" s="1"/>
  <c r="BW7" i="106"/>
  <c r="A7" i="107" s="1"/>
  <c r="DO6" i="106"/>
  <c r="DN6" i="106"/>
  <c r="DN8" i="106" s="1"/>
  <c r="DM6" i="106"/>
  <c r="DM8" i="106" s="1"/>
  <c r="CX6" i="106"/>
  <c r="CX7" i="106" s="1"/>
  <c r="CX8" i="106" s="1"/>
  <c r="CX9" i="106" s="1"/>
  <c r="CX10" i="106" s="1"/>
  <c r="CX11" i="106" s="1"/>
  <c r="CX12" i="106" s="1"/>
  <c r="CX13" i="106" s="1"/>
  <c r="CT6" i="106"/>
  <c r="CP6" i="106"/>
  <c r="CH6" i="106"/>
  <c r="CA6" i="106"/>
  <c r="E6" i="107" s="1"/>
  <c r="BW6" i="106"/>
  <c r="A6" i="107" s="1"/>
  <c r="CP5" i="106"/>
  <c r="CP7" i="106" s="1"/>
  <c r="CO7" i="106" s="1"/>
  <c r="CO8" i="106" s="1"/>
  <c r="BW5" i="106"/>
  <c r="A5" i="107" s="1"/>
  <c r="BS5" i="106"/>
  <c r="BO5" i="106"/>
  <c r="BK5" i="106"/>
  <c r="BG5" i="106"/>
  <c r="BC5" i="106"/>
  <c r="AY5" i="106"/>
  <c r="AU5" i="106"/>
  <c r="AQ5" i="106"/>
  <c r="AM5" i="106"/>
  <c r="C26" i="104"/>
  <c r="H22" i="104" s="1"/>
  <c r="H37" i="104"/>
  <c r="H36" i="104"/>
  <c r="H35" i="104"/>
  <c r="H34" i="104"/>
  <c r="H27" i="104"/>
  <c r="C19" i="104"/>
  <c r="H23" i="104" s="1"/>
  <c r="I23" i="104" s="1"/>
  <c r="H26" i="104"/>
  <c r="H24" i="104"/>
  <c r="D17" i="104"/>
  <c r="FA5" i="106" l="1"/>
  <c r="DE3" i="106"/>
  <c r="CP43" i="106"/>
  <c r="CP56" i="106"/>
  <c r="CP68" i="106"/>
  <c r="DR10" i="106"/>
  <c r="DT9" i="106"/>
  <c r="DU9" i="106" s="1"/>
  <c r="CP67" i="106"/>
  <c r="CP8" i="106"/>
  <c r="CO9" i="106"/>
  <c r="CP9" i="106" s="1"/>
  <c r="DO8" i="106"/>
  <c r="CT7" i="106"/>
  <c r="CT8" i="106" s="1"/>
  <c r="CT9" i="106" s="1"/>
  <c r="CT10" i="106" s="1"/>
  <c r="CT11" i="106" s="1"/>
  <c r="CT12" i="106" s="1"/>
  <c r="CT13" i="106" s="1"/>
  <c r="CX26" i="106"/>
  <c r="CX27" i="106" s="1"/>
  <c r="CT19" i="106"/>
  <c r="CT20" i="106" s="1"/>
  <c r="CP77" i="106"/>
  <c r="CO78" i="106"/>
  <c r="CP78" i="106" s="1"/>
  <c r="H40" i="104"/>
  <c r="H39" i="104"/>
  <c r="CP93" i="106" l="1"/>
  <c r="CX73" i="106"/>
  <c r="DS10" i="106"/>
  <c r="DT10" i="106" s="1"/>
  <c r="DU10" i="106" s="1"/>
  <c r="DR11" i="106"/>
  <c r="BL9" i="103"/>
  <c r="AU32" i="103"/>
  <c r="DS11" i="106" l="1"/>
  <c r="DT11" i="106" s="1"/>
  <c r="DU11" i="106" s="1"/>
  <c r="DR12" i="106"/>
  <c r="BS17" i="103"/>
  <c r="AN25" i="103"/>
  <c r="EG22" i="106" s="1"/>
  <c r="BD17" i="103"/>
  <c r="BS16" i="103"/>
  <c r="AN24" i="103"/>
  <c r="EG21" i="106" s="1"/>
  <c r="BD16" i="103"/>
  <c r="BS15" i="103"/>
  <c r="S38" i="103"/>
  <c r="BD18" i="103" s="1"/>
  <c r="DJ8" i="103"/>
  <c r="DK8" i="103"/>
  <c r="DL8" i="103"/>
  <c r="DI8" i="103"/>
  <c r="DO7" i="103"/>
  <c r="DN7" i="103"/>
  <c r="DM7" i="103"/>
  <c r="DO6" i="103"/>
  <c r="DO8" i="103" s="1"/>
  <c r="DN6" i="103"/>
  <c r="DN8" i="103" s="1"/>
  <c r="DM6" i="103"/>
  <c r="DM8" i="103" s="1"/>
  <c r="DS12" i="106" l="1"/>
  <c r="DT12" i="106"/>
  <c r="DU12" i="106" s="1"/>
  <c r="DR13" i="106"/>
  <c r="CT35" i="103"/>
  <c r="CT36" i="103" s="1"/>
  <c r="CT37" i="103" s="1"/>
  <c r="CT28" i="103"/>
  <c r="CT29" i="103" s="1"/>
  <c r="CT30" i="103" s="1"/>
  <c r="CX14" i="103"/>
  <c r="CX15" i="103" s="1"/>
  <c r="CX16" i="103" s="1"/>
  <c r="CX17" i="103" s="1"/>
  <c r="CZ8" i="103"/>
  <c r="AN23" i="103"/>
  <c r="EG20" i="106" s="1"/>
  <c r="R26" i="103"/>
  <c r="AY16" i="103" s="1"/>
  <c r="AN22" i="103"/>
  <c r="EG19" i="106" s="1"/>
  <c r="BS24" i="103"/>
  <c r="R23" i="103"/>
  <c r="AN21" i="103"/>
  <c r="EG18" i="106" s="1"/>
  <c r="R20" i="103"/>
  <c r="BS31" i="103" s="1"/>
  <c r="DS13" i="106" l="1"/>
  <c r="DT13" i="106"/>
  <c r="DU13" i="106" s="1"/>
  <c r="DR14" i="106"/>
  <c r="AN20" i="103"/>
  <c r="EG17" i="106" s="1"/>
  <c r="R17" i="103"/>
  <c r="BS8" i="103" s="1"/>
  <c r="AN19" i="103"/>
  <c r="EG16" i="106" s="1"/>
  <c r="AU8" i="103"/>
  <c r="R14" i="103"/>
  <c r="EK6" i="106" l="1"/>
  <c r="EK10" i="106" s="1"/>
  <c r="DS14" i="106"/>
  <c r="DR15" i="106"/>
  <c r="DR16" i="106" s="1"/>
  <c r="DR17" i="106" s="1"/>
  <c r="DR18" i="106" s="1"/>
  <c r="DR19" i="106" s="1"/>
  <c r="DR20" i="106" s="1"/>
  <c r="DR21" i="106" s="1"/>
  <c r="DR22" i="106" s="1"/>
  <c r="DR23" i="106" s="1"/>
  <c r="DR24" i="106" s="1"/>
  <c r="DR25" i="106" s="1"/>
  <c r="DR26" i="106" s="1"/>
  <c r="DR27" i="106" s="1"/>
  <c r="DR28" i="106" s="1"/>
  <c r="DR29" i="106" s="1"/>
  <c r="DR30" i="106" s="1"/>
  <c r="DR31" i="106" s="1"/>
  <c r="DR32" i="106" s="1"/>
  <c r="DR33" i="106" s="1"/>
  <c r="DR34" i="106" s="1"/>
  <c r="DR35" i="106" s="1"/>
  <c r="DR36" i="106" s="1"/>
  <c r="DR37" i="106" s="1"/>
  <c r="DR38" i="106" s="1"/>
  <c r="DR39" i="106" s="1"/>
  <c r="DR40" i="106" s="1"/>
  <c r="DR41" i="106" s="1"/>
  <c r="DR42" i="106" s="1"/>
  <c r="DR43" i="106" s="1"/>
  <c r="DR44" i="106" s="1"/>
  <c r="DR45" i="106" s="1"/>
  <c r="DR46" i="106" s="1"/>
  <c r="DR47" i="106" s="1"/>
  <c r="DR48" i="106" s="1"/>
  <c r="DR49" i="106" s="1"/>
  <c r="DR50" i="106" s="1"/>
  <c r="DR51" i="106" s="1"/>
  <c r="DR52" i="106" s="1"/>
  <c r="DR53" i="106" s="1"/>
  <c r="DR54" i="106" s="1"/>
  <c r="DR55" i="106" s="1"/>
  <c r="DR56" i="106" s="1"/>
  <c r="DR57" i="106" s="1"/>
  <c r="DR58" i="106" s="1"/>
  <c r="DR59" i="106" s="1"/>
  <c r="DR60" i="106" s="1"/>
  <c r="DR61" i="106" s="1"/>
  <c r="DR62" i="106" s="1"/>
  <c r="DR63" i="106" s="1"/>
  <c r="DR64" i="106" s="1"/>
  <c r="DR65" i="106" s="1"/>
  <c r="DR66" i="106" s="1"/>
  <c r="DR67" i="106" s="1"/>
  <c r="DR68" i="106" s="1"/>
  <c r="DT14" i="106"/>
  <c r="DU14" i="106" s="1"/>
  <c r="AM18" i="103"/>
  <c r="EF15" i="106" s="1"/>
  <c r="S12" i="103"/>
  <c r="AV31" i="103" s="1"/>
  <c r="AU30" i="103"/>
  <c r="S9" i="103"/>
  <c r="AR17" i="103" s="1"/>
  <c r="CS9" i="103"/>
  <c r="AU29" i="103"/>
  <c r="S6" i="103"/>
  <c r="AR16" i="103" s="1"/>
  <c r="CW22" i="103" l="1"/>
  <c r="DS15" i="106"/>
  <c r="DT15" i="106" s="1"/>
  <c r="DU15" i="106"/>
  <c r="DS16" i="106" s="1"/>
  <c r="DT16" i="106" s="1"/>
  <c r="DU16" i="106" s="1"/>
  <c r="BK26" i="103"/>
  <c r="N32" i="103"/>
  <c r="AR31" i="103" s="1"/>
  <c r="CO77" i="103"/>
  <c r="CK78" i="103" s="1"/>
  <c r="CL78" i="103" s="1"/>
  <c r="CN77" i="103"/>
  <c r="CP77" i="103" s="1"/>
  <c r="CH77" i="103"/>
  <c r="CO67" i="103"/>
  <c r="CN67" i="103"/>
  <c r="CK67" i="103"/>
  <c r="CL67" i="103" s="1"/>
  <c r="CP66" i="103"/>
  <c r="CO56" i="103"/>
  <c r="CN56" i="103"/>
  <c r="CP56" i="103" s="1"/>
  <c r="CL56" i="103"/>
  <c r="CP55" i="103"/>
  <c r="CO43" i="103"/>
  <c r="CN43" i="103"/>
  <c r="CP43" i="103" s="1"/>
  <c r="CL43" i="103"/>
  <c r="CP42" i="103"/>
  <c r="CP31" i="103"/>
  <c r="CP20" i="103"/>
  <c r="CL8" i="103"/>
  <c r="CN7" i="103"/>
  <c r="CN8" i="103" s="1"/>
  <c r="CP6" i="103"/>
  <c r="CH6" i="103"/>
  <c r="CP5" i="103"/>
  <c r="DS17" i="106" l="1"/>
  <c r="DT17" i="106" s="1"/>
  <c r="DU17" i="106" s="1"/>
  <c r="CN78" i="103"/>
  <c r="CO78" i="103"/>
  <c r="CP7" i="103"/>
  <c r="CO7" i="103" s="1"/>
  <c r="CO8" i="103" s="1"/>
  <c r="CP8" i="103" s="1"/>
  <c r="CP67" i="103"/>
  <c r="CP78" i="103" l="1"/>
  <c r="CP85" i="103" s="1"/>
  <c r="DS18" i="106"/>
  <c r="DT18" i="106" s="1"/>
  <c r="DU18" i="106" s="1"/>
  <c r="DS19" i="106" s="1"/>
  <c r="DT19" i="106" s="1"/>
  <c r="DU19" i="106" s="1"/>
  <c r="DS20" i="106" s="1"/>
  <c r="DT20" i="106" s="1"/>
  <c r="DU20" i="106" s="1"/>
  <c r="BH33" i="103"/>
  <c r="M27" i="103"/>
  <c r="N29" i="103" s="1"/>
  <c r="BD29" i="103" s="1"/>
  <c r="AR30" i="103"/>
  <c r="M24" i="103"/>
  <c r="BK25" i="103" s="1"/>
  <c r="BH32" i="103"/>
  <c r="M20" i="103"/>
  <c r="CV21" i="103" s="1"/>
  <c r="AN17" i="103"/>
  <c r="EG14" i="106" s="1"/>
  <c r="M17" i="103"/>
  <c r="AQ29" i="103" s="1"/>
  <c r="AN16" i="103"/>
  <c r="EG13" i="106" s="1"/>
  <c r="AQ28" i="103"/>
  <c r="AM15" i="103"/>
  <c r="EF12" i="106" s="1"/>
  <c r="N12" i="103"/>
  <c r="AV28" i="103" s="1"/>
  <c r="AM14" i="103"/>
  <c r="EF11" i="106" s="1"/>
  <c r="N9" i="103"/>
  <c r="AV27" i="103" s="1"/>
  <c r="AU26" i="103"/>
  <c r="N6" i="103"/>
  <c r="BL8" i="103" s="1"/>
  <c r="DS21" i="106" l="1"/>
  <c r="DT21" i="106" s="1"/>
  <c r="DU21" i="106" s="1"/>
  <c r="AQ15" i="103"/>
  <c r="CR21" i="103"/>
  <c r="AQ14" i="103"/>
  <c r="N22" i="103"/>
  <c r="BD28" i="103" s="1"/>
  <c r="AR27" i="103"/>
  <c r="BK24" i="103"/>
  <c r="BH31" i="103"/>
  <c r="H28" i="103"/>
  <c r="AU25" i="103" s="1"/>
  <c r="AU24" i="103"/>
  <c r="I26" i="103"/>
  <c r="CS15" i="103" s="1"/>
  <c r="DS22" i="106" l="1"/>
  <c r="DT22" i="106" s="1"/>
  <c r="DU22" i="106" s="1"/>
  <c r="DS23" i="106" s="1"/>
  <c r="DT23" i="106" s="1"/>
  <c r="DU23" i="106" s="1"/>
  <c r="DS24" i="106" s="1"/>
  <c r="DT24" i="106" s="1"/>
  <c r="DU24" i="106" s="1"/>
  <c r="AR13" i="103"/>
  <c r="I30" i="103"/>
  <c r="BD27" i="103" s="1"/>
  <c r="AU23" i="103"/>
  <c r="I23" i="103"/>
  <c r="CW8" i="103" s="1"/>
  <c r="DS25" i="106" l="1"/>
  <c r="DT25" i="106" s="1"/>
  <c r="DU25" i="106" s="1"/>
  <c r="AR12" i="103"/>
  <c r="CS8" i="103"/>
  <c r="AR11" i="103"/>
  <c r="AU22" i="103"/>
  <c r="DS26" i="106" l="1"/>
  <c r="DT26" i="106" s="1"/>
  <c r="DU26" i="106" s="1"/>
  <c r="DS27" i="106" s="1"/>
  <c r="DT27" i="106" s="1"/>
  <c r="DU27" i="106" s="1"/>
  <c r="AR26" i="103"/>
  <c r="BK23" i="103"/>
  <c r="BH30" i="103"/>
  <c r="H12" i="103"/>
  <c r="AQ10" i="103" s="1"/>
  <c r="DS28" i="106" l="1"/>
  <c r="DT28" i="106" s="1"/>
  <c r="DU28" i="106" s="1"/>
  <c r="I14" i="103"/>
  <c r="BD26" i="103" s="1"/>
  <c r="CV7" i="103"/>
  <c r="AR25" i="103"/>
  <c r="BK22" i="103"/>
  <c r="BH29" i="103"/>
  <c r="H5" i="103"/>
  <c r="AQ9" i="103" s="1"/>
  <c r="DS29" i="106" l="1"/>
  <c r="DT29" i="106" s="1"/>
  <c r="DU29" i="106"/>
  <c r="CR7" i="103"/>
  <c r="I7" i="103"/>
  <c r="BD25" i="103" s="1"/>
  <c r="AN13" i="103"/>
  <c r="EG10" i="106" s="1"/>
  <c r="AY10" i="103"/>
  <c r="AN12" i="103"/>
  <c r="EG9" i="106" s="1"/>
  <c r="AY9" i="103"/>
  <c r="AN11" i="103"/>
  <c r="EG8" i="106" s="1"/>
  <c r="AU15" i="103"/>
  <c r="DS30" i="106" l="1"/>
  <c r="DT30" i="106" s="1"/>
  <c r="DU30" i="106" s="1"/>
  <c r="BH9" i="103"/>
  <c r="AM10" i="103"/>
  <c r="EF7" i="106" s="1"/>
  <c r="DS31" i="106" l="1"/>
  <c r="DT31" i="106" s="1"/>
  <c r="DU31" i="106" s="1"/>
  <c r="BH24" i="103"/>
  <c r="AM9" i="103"/>
  <c r="EF6" i="106" s="1"/>
  <c r="DS32" i="106" l="1"/>
  <c r="DT32" i="106" s="1"/>
  <c r="DU32" i="106" s="1"/>
  <c r="BI40" i="103"/>
  <c r="BH8" i="103"/>
  <c r="AZ30" i="103"/>
  <c r="AY8" i="103"/>
  <c r="AM8" i="103"/>
  <c r="EF5" i="106" s="1"/>
  <c r="EH5" i="106" s="1"/>
  <c r="EH6" i="106" s="1"/>
  <c r="EH7" i="106" s="1"/>
  <c r="EH8" i="106" s="1"/>
  <c r="EH9" i="106" s="1"/>
  <c r="EH10" i="106" s="1"/>
  <c r="EH11" i="106" s="1"/>
  <c r="EH12" i="106" s="1"/>
  <c r="EH13" i="106" s="1"/>
  <c r="EH14" i="106" s="1"/>
  <c r="EH15" i="106" s="1"/>
  <c r="EH16" i="106" s="1"/>
  <c r="EH17" i="106" s="1"/>
  <c r="EH18" i="106" s="1"/>
  <c r="EH19" i="106" s="1"/>
  <c r="EH20" i="106" s="1"/>
  <c r="EH21" i="106" s="1"/>
  <c r="EH22" i="106" s="1"/>
  <c r="D18" i="103"/>
  <c r="BH23" i="103" s="1"/>
  <c r="AZ15" i="103"/>
  <c r="BG22" i="103"/>
  <c r="DA14" i="103"/>
  <c r="DB14" i="103" s="1"/>
  <c r="DB15" i="103" s="1"/>
  <c r="DF7" i="103"/>
  <c r="DF8" i="103" s="1"/>
  <c r="DB7" i="103"/>
  <c r="DB8" i="103" s="1"/>
  <c r="DB9" i="103" s="1"/>
  <c r="DE3" i="103" s="1"/>
  <c r="DS33" i="106" l="1"/>
  <c r="DT33" i="106" s="1"/>
  <c r="DU33" i="106"/>
  <c r="BH21" i="103"/>
  <c r="C8" i="103"/>
  <c r="AQ8" i="103" s="1"/>
  <c r="CT21" i="103"/>
  <c r="CT22" i="103" s="1"/>
  <c r="CT23" i="103" s="1"/>
  <c r="CX21" i="103"/>
  <c r="CX22" i="103" s="1"/>
  <c r="CX23" i="103" s="1"/>
  <c r="CT14" i="103"/>
  <c r="CT15" i="103" s="1"/>
  <c r="CT16" i="103" s="1"/>
  <c r="CX6" i="103"/>
  <c r="CX7" i="103" s="1"/>
  <c r="CX8" i="103" s="1"/>
  <c r="CX9" i="103" s="1"/>
  <c r="CT6" i="103"/>
  <c r="CT7" i="103" s="1"/>
  <c r="CT8" i="103" s="1"/>
  <c r="CT9" i="103" s="1"/>
  <c r="CX40" i="103" l="1"/>
  <c r="DS34" i="106"/>
  <c r="DT34" i="106" s="1"/>
  <c r="DU34" i="106"/>
  <c r="BH20" i="103"/>
  <c r="AQ24" i="103"/>
  <c r="DS35" i="106" l="1"/>
  <c r="DT35" i="106" s="1"/>
  <c r="DU35" i="106" s="1"/>
  <c r="BW29" i="103"/>
  <c r="BW30" i="103"/>
  <c r="BW31" i="103"/>
  <c r="BW32" i="103"/>
  <c r="BW33" i="103"/>
  <c r="BW34" i="103"/>
  <c r="BW35" i="103"/>
  <c r="BW36" i="103"/>
  <c r="BW37" i="103"/>
  <c r="BW41" i="103"/>
  <c r="BW28" i="103"/>
  <c r="BW23" i="103"/>
  <c r="BW22" i="103"/>
  <c r="BW21" i="103"/>
  <c r="CA15" i="103"/>
  <c r="CA12" i="103"/>
  <c r="CA10" i="103"/>
  <c r="CA9" i="103"/>
  <c r="CA8" i="103"/>
  <c r="CA7" i="103"/>
  <c r="CA6" i="103"/>
  <c r="BW12" i="103"/>
  <c r="BW9" i="103"/>
  <c r="BW8" i="103"/>
  <c r="BW7" i="103"/>
  <c r="BW6" i="103"/>
  <c r="BW5" i="103"/>
  <c r="BO26" i="103"/>
  <c r="BQ29" i="103"/>
  <c r="BQ30" i="103" s="1"/>
  <c r="BQ31" i="103" s="1"/>
  <c r="AK31" i="103" s="1"/>
  <c r="BC33" i="103"/>
  <c r="BE36" i="103"/>
  <c r="BE37" i="103" s="1"/>
  <c r="AK19" i="103" s="1"/>
  <c r="BG12" i="103"/>
  <c r="BC22" i="103"/>
  <c r="BE25" i="103"/>
  <c r="BE26" i="103" s="1"/>
  <c r="BE27" i="103" s="1"/>
  <c r="BU38" i="103"/>
  <c r="BU39" i="103" s="1"/>
  <c r="BU40" i="103" s="1"/>
  <c r="AK37" i="103" s="1"/>
  <c r="BU31" i="103"/>
  <c r="BU32" i="103" s="1"/>
  <c r="BU33" i="103" s="1"/>
  <c r="AK36" i="103" s="1"/>
  <c r="G37" i="104" s="1"/>
  <c r="I37" i="104" s="1"/>
  <c r="BU30" i="106" s="1"/>
  <c r="BU31" i="106" s="1"/>
  <c r="BU32" i="106" s="1"/>
  <c r="BU33" i="106" s="1"/>
  <c r="AK36" i="106" s="1"/>
  <c r="BX37" i="106" s="1"/>
  <c r="BU24" i="103"/>
  <c r="BU25" i="103" s="1"/>
  <c r="BU26" i="103" s="1"/>
  <c r="AK35" i="103" s="1"/>
  <c r="G36" i="104" s="1"/>
  <c r="I36" i="104" s="1"/>
  <c r="BU23" i="106" s="1"/>
  <c r="BU24" i="106" s="1"/>
  <c r="BU25" i="106" s="1"/>
  <c r="BU26" i="106" s="1"/>
  <c r="AK35" i="106" s="1"/>
  <c r="BX36" i="106" s="1"/>
  <c r="BU15" i="103"/>
  <c r="BU16" i="103" s="1"/>
  <c r="BU17" i="103" s="1"/>
  <c r="BU18" i="103" s="1"/>
  <c r="BU19" i="103" s="1"/>
  <c r="AK34" i="103" s="1"/>
  <c r="G35" i="104" s="1"/>
  <c r="I35" i="104" s="1"/>
  <c r="BU14" i="106" s="1"/>
  <c r="BU15" i="106" s="1"/>
  <c r="BU16" i="106" s="1"/>
  <c r="BU17" i="106" s="1"/>
  <c r="BU18" i="106" s="1"/>
  <c r="BU19" i="106" s="1"/>
  <c r="AK34" i="106" s="1"/>
  <c r="BX35" i="106" s="1"/>
  <c r="BU8" i="103"/>
  <c r="BU9" i="103" s="1"/>
  <c r="BU10" i="103" s="1"/>
  <c r="AK33" i="103" s="1"/>
  <c r="G34" i="104" s="1"/>
  <c r="I34" i="104" s="1"/>
  <c r="BU7" i="106" s="1"/>
  <c r="BU8" i="106" s="1"/>
  <c r="BU9" i="106" s="1"/>
  <c r="BU10" i="106" s="1"/>
  <c r="AK33" i="106" s="1"/>
  <c r="BX34" i="106" s="1"/>
  <c r="BQ36" i="103"/>
  <c r="BQ37" i="103" s="1"/>
  <c r="BQ38" i="103" s="1"/>
  <c r="AK32" i="103" s="1"/>
  <c r="BQ22" i="103"/>
  <c r="BQ23" i="103" s="1"/>
  <c r="BQ24" i="103" s="1"/>
  <c r="AK30" i="103" s="1"/>
  <c r="BQ15" i="103"/>
  <c r="BQ16" i="103" s="1"/>
  <c r="BQ17" i="103" s="1"/>
  <c r="AK29" i="103" s="1"/>
  <c r="BQ8" i="103"/>
  <c r="BQ9" i="103" s="1"/>
  <c r="BQ10" i="103" s="1"/>
  <c r="AK28" i="103" s="1"/>
  <c r="BM39" i="103"/>
  <c r="BM40" i="103" s="1"/>
  <c r="BM41" i="103" s="1"/>
  <c r="AK27" i="103" s="1"/>
  <c r="BM22" i="103"/>
  <c r="BM23" i="103" s="1"/>
  <c r="BM24" i="103" s="1"/>
  <c r="BM25" i="103" s="1"/>
  <c r="BM26" i="103" s="1"/>
  <c r="BM27" i="103" s="1"/>
  <c r="BM28" i="103" s="1"/>
  <c r="BM29" i="103" s="1"/>
  <c r="BM30" i="103" s="1"/>
  <c r="BM31" i="103" s="1"/>
  <c r="BM32" i="103" s="1"/>
  <c r="BM33" i="103" s="1"/>
  <c r="BM34" i="103" s="1"/>
  <c r="AK26" i="103" s="1"/>
  <c r="G27" i="104" s="1"/>
  <c r="I27" i="104" s="1"/>
  <c r="BM21" i="106" s="1"/>
  <c r="BM22" i="106" s="1"/>
  <c r="BM23" i="106" s="1"/>
  <c r="BM24" i="106" s="1"/>
  <c r="BM25" i="106" s="1"/>
  <c r="BM26" i="106" s="1"/>
  <c r="BM27" i="106" s="1"/>
  <c r="BM28" i="106" s="1"/>
  <c r="BM29" i="106" s="1"/>
  <c r="BM30" i="106" s="1"/>
  <c r="BM31" i="106" s="1"/>
  <c r="BM32" i="106" s="1"/>
  <c r="BM33" i="106" s="1"/>
  <c r="BM34" i="106" s="1"/>
  <c r="AK26" i="106" s="1"/>
  <c r="BY25" i="106" s="1"/>
  <c r="BI20" i="103"/>
  <c r="BI21" i="103" s="1"/>
  <c r="BI22" i="103" s="1"/>
  <c r="BI23" i="103" s="1"/>
  <c r="BI24" i="103" s="1"/>
  <c r="BI15" i="103"/>
  <c r="AK21" i="103" s="1"/>
  <c r="BI8" i="103"/>
  <c r="BI9" i="103" s="1"/>
  <c r="BI10" i="103" s="1"/>
  <c r="AK20" i="103" s="1"/>
  <c r="BE16" i="103"/>
  <c r="BE17" i="103" s="1"/>
  <c r="BE18" i="103" s="1"/>
  <c r="BE19" i="103" s="1"/>
  <c r="BE20" i="103" s="1"/>
  <c r="AK17" i="103" s="1"/>
  <c r="BE8" i="103"/>
  <c r="BE9" i="103" s="1"/>
  <c r="BE10" i="103" s="1"/>
  <c r="BE11" i="103" s="1"/>
  <c r="AK16" i="103" s="1"/>
  <c r="BA36" i="103"/>
  <c r="BA37" i="103" s="1"/>
  <c r="BA38" i="103" s="1"/>
  <c r="BA39" i="103" s="1"/>
  <c r="AK15" i="103" s="1"/>
  <c r="BA30" i="103"/>
  <c r="BA31" i="103" s="1"/>
  <c r="AK14" i="103" s="1"/>
  <c r="BA15" i="103"/>
  <c r="BA16" i="103" s="1"/>
  <c r="BA17" i="103" s="1"/>
  <c r="BA18" i="103" s="1"/>
  <c r="BA19" i="103" s="1"/>
  <c r="BA20" i="103" s="1"/>
  <c r="BA21" i="103" s="1"/>
  <c r="BA22" i="103" s="1"/>
  <c r="BA23" i="103" s="1"/>
  <c r="BA24" i="103" s="1"/>
  <c r="BA25" i="103" s="1"/>
  <c r="AK13" i="103" s="1"/>
  <c r="G13" i="104" s="1"/>
  <c r="I13" i="104" s="1"/>
  <c r="BA14" i="106" s="1"/>
  <c r="BA15" i="106" s="1"/>
  <c r="BA16" i="106" s="1"/>
  <c r="BA17" i="106" s="1"/>
  <c r="BA18" i="106" s="1"/>
  <c r="BA19" i="106" s="1"/>
  <c r="BA20" i="106" s="1"/>
  <c r="BA21" i="106" s="1"/>
  <c r="BA22" i="106" s="1"/>
  <c r="BA23" i="106" s="1"/>
  <c r="BA24" i="106" s="1"/>
  <c r="BA25" i="106" s="1"/>
  <c r="AK13" i="106" s="1"/>
  <c r="BC13" i="103"/>
  <c r="BS35" i="103"/>
  <c r="BS28" i="103"/>
  <c r="BS21" i="103"/>
  <c r="BS12" i="103"/>
  <c r="BS5" i="103"/>
  <c r="BO33" i="103"/>
  <c r="BO19" i="103"/>
  <c r="BO12" i="103"/>
  <c r="BO5" i="103"/>
  <c r="BK36" i="103"/>
  <c r="BK19" i="103"/>
  <c r="BK5" i="103"/>
  <c r="BG37" i="103"/>
  <c r="BG26" i="103"/>
  <c r="BG17" i="103"/>
  <c r="BG5" i="103"/>
  <c r="BC5" i="103"/>
  <c r="AY33" i="103"/>
  <c r="AY27" i="103"/>
  <c r="AY12" i="103"/>
  <c r="AY5" i="103"/>
  <c r="BA8" i="103"/>
  <c r="BA9" i="103" s="1"/>
  <c r="BA10" i="103" s="1"/>
  <c r="AK12" i="103" s="1"/>
  <c r="AU34" i="103"/>
  <c r="AW37" i="103"/>
  <c r="AW38" i="103" s="1"/>
  <c r="AW39" i="103" s="1"/>
  <c r="AK11" i="103" s="1"/>
  <c r="AU19" i="103"/>
  <c r="AW22" i="103"/>
  <c r="AW23" i="103" s="1"/>
  <c r="AU12" i="103"/>
  <c r="AW14" i="103"/>
  <c r="AW15" i="103" s="1"/>
  <c r="AW16" i="103" s="1"/>
  <c r="AW17" i="103" s="1"/>
  <c r="AK9" i="103" s="1"/>
  <c r="G9" i="104" s="1"/>
  <c r="AU5" i="103"/>
  <c r="AQ21" i="103"/>
  <c r="G21" i="104" l="1"/>
  <c r="I21" i="104" s="1"/>
  <c r="BI14" i="106" s="1"/>
  <c r="BI15" i="106" s="1"/>
  <c r="AK21" i="106" s="1"/>
  <c r="BX48" i="103"/>
  <c r="BY41" i="103"/>
  <c r="G38" i="104"/>
  <c r="I38" i="104" s="1"/>
  <c r="BU37" i="106" s="1"/>
  <c r="BU38" i="106" s="1"/>
  <c r="BU39" i="106" s="1"/>
  <c r="BU40" i="106" s="1"/>
  <c r="AK37" i="106" s="1"/>
  <c r="BY41" i="106" s="1"/>
  <c r="CB10" i="103"/>
  <c r="G19" i="104"/>
  <c r="I19" i="104" s="1"/>
  <c r="BE35" i="106" s="1"/>
  <c r="BE36" i="106" s="1"/>
  <c r="BE37" i="106" s="1"/>
  <c r="AK19" i="106" s="1"/>
  <c r="CB10" i="106" s="1"/>
  <c r="F10" i="107" s="1"/>
  <c r="BX13" i="103"/>
  <c r="G11" i="104"/>
  <c r="I11" i="104" s="1"/>
  <c r="AW36" i="106" s="1"/>
  <c r="AW37" i="106" s="1"/>
  <c r="AW38" i="106" s="1"/>
  <c r="AW39" i="106" s="1"/>
  <c r="AK11" i="106" s="1"/>
  <c r="BX13" i="106" s="1"/>
  <c r="B13" i="107" s="1"/>
  <c r="CB7" i="103"/>
  <c r="G16" i="104"/>
  <c r="I16" i="104" s="1"/>
  <c r="BE7" i="106" s="1"/>
  <c r="BE8" i="106" s="1"/>
  <c r="BE9" i="106" s="1"/>
  <c r="BE10" i="106" s="1"/>
  <c r="BE11" i="106" s="1"/>
  <c r="AK16" i="106" s="1"/>
  <c r="CB7" i="106" s="1"/>
  <c r="F7" i="107" s="1"/>
  <c r="BX30" i="103"/>
  <c r="G30" i="104"/>
  <c r="I30" i="104" s="1"/>
  <c r="BQ14" i="106" s="1"/>
  <c r="BQ15" i="106" s="1"/>
  <c r="BQ16" i="106" s="1"/>
  <c r="BQ17" i="106" s="1"/>
  <c r="AK29" i="106" s="1"/>
  <c r="BX30" i="106" s="1"/>
  <c r="CB6" i="103"/>
  <c r="G15" i="104"/>
  <c r="I15" i="104" s="1"/>
  <c r="BA35" i="106" s="1"/>
  <c r="BA36" i="106" s="1"/>
  <c r="BA37" i="106" s="1"/>
  <c r="BA38" i="106" s="1"/>
  <c r="BA39" i="106" s="1"/>
  <c r="AK15" i="106" s="1"/>
  <c r="CB6" i="106" s="1"/>
  <c r="F6" i="107" s="1"/>
  <c r="BX29" i="103"/>
  <c r="G29" i="104"/>
  <c r="I29" i="104" s="1"/>
  <c r="BQ7" i="106" s="1"/>
  <c r="BQ8" i="106" s="1"/>
  <c r="BQ9" i="106" s="1"/>
  <c r="BQ10" i="106" s="1"/>
  <c r="AK28" i="106" s="1"/>
  <c r="BX29" i="106" s="1"/>
  <c r="B29" i="107" s="1"/>
  <c r="CB4" i="106"/>
  <c r="CB8" i="103"/>
  <c r="G17" i="104"/>
  <c r="I17" i="104" s="1"/>
  <c r="BE15" i="106" s="1"/>
  <c r="BE16" i="106" s="1"/>
  <c r="BE17" i="106" s="1"/>
  <c r="BE18" i="106" s="1"/>
  <c r="BE19" i="106" s="1"/>
  <c r="BE20" i="106" s="1"/>
  <c r="AK17" i="106" s="1"/>
  <c r="CB8" i="106" s="1"/>
  <c r="F8" i="107" s="1"/>
  <c r="BX31" i="103"/>
  <c r="G31" i="104"/>
  <c r="I31" i="104" s="1"/>
  <c r="BQ21" i="106" s="1"/>
  <c r="BQ22" i="106" s="1"/>
  <c r="BQ23" i="106" s="1"/>
  <c r="BQ24" i="106" s="1"/>
  <c r="AK30" i="106" s="1"/>
  <c r="BX31" i="106" s="1"/>
  <c r="BX32" i="103"/>
  <c r="G32" i="104"/>
  <c r="I32" i="104" s="1"/>
  <c r="BQ28" i="106" s="1"/>
  <c r="BQ29" i="106" s="1"/>
  <c r="BQ30" i="106" s="1"/>
  <c r="BQ31" i="106" s="1"/>
  <c r="AK31" i="106" s="1"/>
  <c r="BX32" i="106" s="1"/>
  <c r="B32" i="107" s="1"/>
  <c r="BX12" i="103"/>
  <c r="G12" i="104"/>
  <c r="I12" i="104" s="1"/>
  <c r="BA7" i="106" s="1"/>
  <c r="BA8" i="106" s="1"/>
  <c r="BA9" i="106" s="1"/>
  <c r="BA10" i="106" s="1"/>
  <c r="AK12" i="106" s="1"/>
  <c r="BX12" i="106" s="1"/>
  <c r="CB5" i="103"/>
  <c r="G14" i="104"/>
  <c r="I14" i="104" s="1"/>
  <c r="BA29" i="106" s="1"/>
  <c r="BA30" i="106" s="1"/>
  <c r="BA31" i="106" s="1"/>
  <c r="AK14" i="106" s="1"/>
  <c r="CB5" i="106" s="1"/>
  <c r="F5" i="107" s="1"/>
  <c r="CC12" i="103"/>
  <c r="G20" i="104"/>
  <c r="I20" i="104" s="1"/>
  <c r="BI7" i="106" s="1"/>
  <c r="BI8" i="106" s="1"/>
  <c r="BI9" i="106" s="1"/>
  <c r="BI10" i="106" s="1"/>
  <c r="AK20" i="106" s="1"/>
  <c r="CC12" i="106" s="1"/>
  <c r="G12" i="107" s="1"/>
  <c r="B37" i="107"/>
  <c r="BX28" i="103"/>
  <c r="G28" i="104"/>
  <c r="I28" i="104" s="1"/>
  <c r="BM38" i="106" s="1"/>
  <c r="BM39" i="106" s="1"/>
  <c r="BM40" i="106" s="1"/>
  <c r="BM41" i="106" s="1"/>
  <c r="AK27" i="106" s="1"/>
  <c r="BX28" i="106" s="1"/>
  <c r="BX33" i="103"/>
  <c r="G33" i="104"/>
  <c r="I9" i="104"/>
  <c r="DS36" i="106"/>
  <c r="DT36" i="106" s="1"/>
  <c r="DU36" i="106" s="1"/>
  <c r="BX35" i="103"/>
  <c r="BY38" i="103" s="1"/>
  <c r="BX36" i="103"/>
  <c r="B36" i="107" s="1"/>
  <c r="BX37" i="103"/>
  <c r="BX34" i="103"/>
  <c r="B34" i="107" s="1"/>
  <c r="BX71" i="103"/>
  <c r="BE28" i="103"/>
  <c r="BE29" i="103" s="1"/>
  <c r="BE30" i="103" s="1"/>
  <c r="BE31" i="103" s="1"/>
  <c r="AK18" i="103" s="1"/>
  <c r="G18" i="104" s="1"/>
  <c r="I18" i="104" s="1"/>
  <c r="BE24" i="106" s="1"/>
  <c r="BE25" i="106" s="1"/>
  <c r="BE26" i="106" s="1"/>
  <c r="BE27" i="106" s="1"/>
  <c r="BE28" i="106" s="1"/>
  <c r="BE29" i="106" s="1"/>
  <c r="BE30" i="106" s="1"/>
  <c r="BE31" i="106" s="1"/>
  <c r="AK18" i="106" s="1"/>
  <c r="CB9" i="106" s="1"/>
  <c r="F9" i="107" s="1"/>
  <c r="AW24" i="103"/>
  <c r="AW25" i="103" s="1"/>
  <c r="AW26" i="103" s="1"/>
  <c r="AW27" i="103" s="1"/>
  <c r="AW28" i="103" s="1"/>
  <c r="AW29" i="103" s="1"/>
  <c r="AW30" i="103" s="1"/>
  <c r="AW31" i="103" s="1"/>
  <c r="AW32" i="103" s="1"/>
  <c r="BY25" i="103"/>
  <c r="C25" i="107" s="1"/>
  <c r="BY14" i="103"/>
  <c r="AK22" i="103"/>
  <c r="BX8" i="103"/>
  <c r="CB4" i="103"/>
  <c r="AK24" i="103"/>
  <c r="BX22" i="103" l="1"/>
  <c r="G25" i="104"/>
  <c r="I25" i="104" s="1"/>
  <c r="BI39" i="106" s="1"/>
  <c r="BI40" i="106" s="1"/>
  <c r="AK24" i="106" s="1"/>
  <c r="BX22" i="106" s="1"/>
  <c r="B22" i="107" s="1"/>
  <c r="F4" i="107"/>
  <c r="G11" i="107" s="1"/>
  <c r="G13" i="107" s="1"/>
  <c r="CC11" i="106"/>
  <c r="CC13" i="106" s="1"/>
  <c r="B12" i="107"/>
  <c r="C14" i="107" s="1"/>
  <c r="BY14" i="106"/>
  <c r="B35" i="107"/>
  <c r="G22" i="104"/>
  <c r="I22" i="104" s="1"/>
  <c r="BI19" i="106" s="1"/>
  <c r="BI20" i="106" s="1"/>
  <c r="BI21" i="106" s="1"/>
  <c r="BI22" i="106" s="1"/>
  <c r="BI23" i="106" s="1"/>
  <c r="BI24" i="106" s="1"/>
  <c r="AK22" i="106" s="1"/>
  <c r="BY45" i="106" s="1"/>
  <c r="BY45" i="103"/>
  <c r="C45" i="107" s="1"/>
  <c r="B28" i="107"/>
  <c r="B31" i="107"/>
  <c r="AL2" i="106"/>
  <c r="B30" i="107"/>
  <c r="C41" i="107"/>
  <c r="BX71" i="106"/>
  <c r="BX48" i="106"/>
  <c r="B48" i="107" s="1"/>
  <c r="I33" i="104"/>
  <c r="AW14" i="106"/>
  <c r="AW15" i="106" s="1"/>
  <c r="AW16" i="106" s="1"/>
  <c r="AW17" i="106" s="1"/>
  <c r="AK9" i="106" s="1"/>
  <c r="DS37" i="106"/>
  <c r="DT37" i="106" s="1"/>
  <c r="DU37" i="106" s="1"/>
  <c r="AL2" i="103"/>
  <c r="CB9" i="103"/>
  <c r="CC11" i="103" s="1"/>
  <c r="CC13" i="103" s="1"/>
  <c r="AK10" i="103"/>
  <c r="AS8" i="103"/>
  <c r="AO8" i="103"/>
  <c r="AS24" i="103"/>
  <c r="BX9" i="103" l="1"/>
  <c r="G10" i="104"/>
  <c r="I10" i="104" s="1"/>
  <c r="AW21" i="106" s="1"/>
  <c r="AW22" i="106" s="1"/>
  <c r="AW23" i="106" s="1"/>
  <c r="AW24" i="106" s="1"/>
  <c r="AW25" i="106" s="1"/>
  <c r="AW26" i="106" s="1"/>
  <c r="AW27" i="106" s="1"/>
  <c r="AW28" i="106" s="1"/>
  <c r="AW29" i="106" s="1"/>
  <c r="AW30" i="106" s="1"/>
  <c r="AW31" i="106" s="1"/>
  <c r="AW32" i="106" s="1"/>
  <c r="AK10" i="106" s="1"/>
  <c r="BX9" i="106" s="1"/>
  <c r="B9" i="107" s="1"/>
  <c r="BQ35" i="106"/>
  <c r="BQ36" i="106" s="1"/>
  <c r="BQ37" i="106" s="1"/>
  <c r="BQ38" i="106" s="1"/>
  <c r="AK32" i="106" s="1"/>
  <c r="BX8" i="106"/>
  <c r="DS38" i="106"/>
  <c r="DT38" i="106" s="1"/>
  <c r="DU38" i="106" s="1"/>
  <c r="AS25" i="103"/>
  <c r="AS26" i="103" s="1"/>
  <c r="AS27" i="103" s="1"/>
  <c r="AS9" i="103"/>
  <c r="AS10" i="103" s="1"/>
  <c r="AS11" i="103" s="1"/>
  <c r="AO9" i="103"/>
  <c r="AO10" i="103" s="1"/>
  <c r="AO11" i="103" s="1"/>
  <c r="AO12" i="103" s="1"/>
  <c r="AO13" i="103" s="1"/>
  <c r="AO14" i="103" s="1"/>
  <c r="AO15" i="103" s="1"/>
  <c r="AO16" i="103" s="1"/>
  <c r="AO17" i="103" s="1"/>
  <c r="AO18" i="103" s="1"/>
  <c r="AO19" i="103" s="1"/>
  <c r="AO20" i="103" s="1"/>
  <c r="AO21" i="103" s="1"/>
  <c r="AO22" i="103" s="1"/>
  <c r="AO23" i="103" s="1"/>
  <c r="AO24" i="103" s="1"/>
  <c r="AO25" i="103" s="1"/>
  <c r="AO26" i="103" s="1"/>
  <c r="AO27" i="103" s="1"/>
  <c r="AO28" i="103" s="1"/>
  <c r="AO29" i="103" s="1"/>
  <c r="AO30" i="103" s="1"/>
  <c r="AO31" i="103" s="1"/>
  <c r="AO32" i="103" s="1"/>
  <c r="AO33" i="103" s="1"/>
  <c r="AO34" i="103" s="1"/>
  <c r="AO35" i="103" s="1"/>
  <c r="AO36" i="103" s="1"/>
  <c r="AO37" i="103" s="1"/>
  <c r="AK5" i="103" s="1"/>
  <c r="G5" i="104" s="1"/>
  <c r="I5" i="104" l="1"/>
  <c r="BX33" i="106"/>
  <c r="B8" i="107"/>
  <c r="DS39" i="106"/>
  <c r="DT39" i="106" s="1"/>
  <c r="DU39" i="106" s="1"/>
  <c r="BX4" i="103"/>
  <c r="AS28" i="103"/>
  <c r="AS29" i="103" s="1"/>
  <c r="AS30" i="103" s="1"/>
  <c r="AS31" i="103" s="1"/>
  <c r="AS32" i="103" s="1"/>
  <c r="AS33" i="103" s="1"/>
  <c r="AS34" i="103" s="1"/>
  <c r="AS35" i="103" s="1"/>
  <c r="AS36" i="103" s="1"/>
  <c r="AS37" i="103" s="1"/>
  <c r="AK7" i="103" s="1"/>
  <c r="G7" i="104" s="1"/>
  <c r="I7" i="104" s="1"/>
  <c r="AS31" i="106" s="1"/>
  <c r="AS32" i="106" s="1"/>
  <c r="AS33" i="106" s="1"/>
  <c r="AS34" i="106" s="1"/>
  <c r="AS35" i="106" s="1"/>
  <c r="AS36" i="106" s="1"/>
  <c r="AS37" i="106" s="1"/>
  <c r="AS38" i="106" s="1"/>
  <c r="AS39" i="106" s="1"/>
  <c r="AS40" i="106" s="1"/>
  <c r="AS41" i="106" s="1"/>
  <c r="AK7" i="106" s="1"/>
  <c r="BX6" i="106" s="1"/>
  <c r="B6" i="107" s="1"/>
  <c r="AS12" i="103"/>
  <c r="AS13" i="103" s="1"/>
  <c r="AS14" i="103" s="1"/>
  <c r="AS15" i="103" s="1"/>
  <c r="AS16" i="103" s="1"/>
  <c r="AS17" i="103" s="1"/>
  <c r="AS18" i="103" s="1"/>
  <c r="AS19" i="103" s="1"/>
  <c r="AK6" i="103" s="1"/>
  <c r="G6" i="104" s="1"/>
  <c r="I6" i="104" s="1"/>
  <c r="AS7" i="106" s="1"/>
  <c r="AS8" i="106" s="1"/>
  <c r="AS9" i="106" s="1"/>
  <c r="AS10" i="106" s="1"/>
  <c r="AS11" i="106" s="1"/>
  <c r="AS12" i="106" s="1"/>
  <c r="AS13" i="106" s="1"/>
  <c r="AS14" i="106" s="1"/>
  <c r="AS15" i="106" s="1"/>
  <c r="AS16" i="106" s="1"/>
  <c r="AS17" i="106" s="1"/>
  <c r="AS18" i="106" s="1"/>
  <c r="AS19" i="106" s="1"/>
  <c r="AS20" i="106" s="1"/>
  <c r="AS21" i="106" s="1"/>
  <c r="AS22" i="106" s="1"/>
  <c r="AS23" i="106" s="1"/>
  <c r="AS24" i="106" s="1"/>
  <c r="AS25" i="106" s="1"/>
  <c r="AS26" i="106" s="1"/>
  <c r="AS27" i="106" s="1"/>
  <c r="AK6" i="106" s="1"/>
  <c r="BX5" i="106" s="1"/>
  <c r="B5" i="107" s="1"/>
  <c r="AO7" i="106" l="1"/>
  <c r="B33" i="107"/>
  <c r="C38" i="107" s="1"/>
  <c r="BY38" i="106"/>
  <c r="DS40" i="106"/>
  <c r="DT40" i="106" s="1"/>
  <c r="DU40" i="106" s="1"/>
  <c r="BX6" i="103"/>
  <c r="BX5" i="103"/>
  <c r="AW8" i="103"/>
  <c r="AW9" i="103" s="1"/>
  <c r="AW10" i="103" s="1"/>
  <c r="AK8" i="103" s="1"/>
  <c r="BM8" i="103"/>
  <c r="BM9" i="103" s="1"/>
  <c r="BM10" i="103" s="1"/>
  <c r="BM11" i="103" s="1"/>
  <c r="BM12" i="103" s="1"/>
  <c r="BM13" i="103" s="1"/>
  <c r="BM14" i="103" s="1"/>
  <c r="BM15" i="103" s="1"/>
  <c r="BM16" i="103" s="1"/>
  <c r="BM17" i="103" s="1"/>
  <c r="AK25" i="103" s="1"/>
  <c r="G26" i="104" s="1"/>
  <c r="I26" i="104" s="1"/>
  <c r="BM7" i="106" s="1"/>
  <c r="BM8" i="106" s="1"/>
  <c r="BM9" i="106" s="1"/>
  <c r="BM10" i="106" s="1"/>
  <c r="BM11" i="106" s="1"/>
  <c r="BM12" i="106" s="1"/>
  <c r="BM13" i="106" s="1"/>
  <c r="BM14" i="106" s="1"/>
  <c r="BM15" i="106" s="1"/>
  <c r="BM16" i="106" s="1"/>
  <c r="BM17" i="106" s="1"/>
  <c r="AK25" i="106" s="1"/>
  <c r="BX23" i="106" s="1"/>
  <c r="BI29" i="103"/>
  <c r="BI30" i="103" s="1"/>
  <c r="BI31" i="103" s="1"/>
  <c r="BI32" i="103" s="1"/>
  <c r="BI33" i="103" s="1"/>
  <c r="BI34" i="103" s="1"/>
  <c r="BI35" i="103" s="1"/>
  <c r="AQ5" i="103"/>
  <c r="AM5" i="103"/>
  <c r="BX7" i="103" l="1"/>
  <c r="BY10" i="103" s="1"/>
  <c r="BY17" i="103" s="1"/>
  <c r="G8" i="104"/>
  <c r="FB4" i="106"/>
  <c r="FB5" i="106" s="1"/>
  <c r="FB6" i="106" s="1"/>
  <c r="FB7" i="106" s="1"/>
  <c r="FB8" i="106" s="1"/>
  <c r="FB9" i="106" s="1"/>
  <c r="FB10" i="106" s="1"/>
  <c r="FB11" i="106" s="1"/>
  <c r="FB12" i="106" s="1"/>
  <c r="FB13" i="106" s="1"/>
  <c r="FB14" i="106" s="1"/>
  <c r="FB15" i="106" s="1"/>
  <c r="FB16" i="106" s="1"/>
  <c r="FB17" i="106" s="1"/>
  <c r="FB18" i="106" s="1"/>
  <c r="FB19" i="106" s="1"/>
  <c r="AO8" i="106"/>
  <c r="AO9" i="106" s="1"/>
  <c r="AO10" i="106" s="1"/>
  <c r="AO11" i="106" s="1"/>
  <c r="AO12" i="106" s="1"/>
  <c r="AO13" i="106" s="1"/>
  <c r="AO14" i="106" s="1"/>
  <c r="AO15" i="106" s="1"/>
  <c r="AO16" i="106" s="1"/>
  <c r="AO17" i="106" s="1"/>
  <c r="AO18" i="106" s="1"/>
  <c r="AO19" i="106" s="1"/>
  <c r="AO20" i="106" s="1"/>
  <c r="AO21" i="106" s="1"/>
  <c r="AO22" i="106" s="1"/>
  <c r="AO23" i="106" s="1"/>
  <c r="AO24" i="106" s="1"/>
  <c r="AO25" i="106" s="1"/>
  <c r="AO26" i="106" s="1"/>
  <c r="AO27" i="106" s="1"/>
  <c r="AO28" i="106" s="1"/>
  <c r="AO29" i="106" s="1"/>
  <c r="AO30" i="106" s="1"/>
  <c r="AO31" i="106" s="1"/>
  <c r="AO32" i="106" s="1"/>
  <c r="AO33" i="106" s="1"/>
  <c r="AO34" i="106" s="1"/>
  <c r="AO35" i="106" s="1"/>
  <c r="AO36" i="106" s="1"/>
  <c r="AO37" i="106" s="1"/>
  <c r="AK5" i="106" s="1"/>
  <c r="DS41" i="106"/>
  <c r="DT41" i="106" s="1"/>
  <c r="DU41" i="106" s="1"/>
  <c r="AJ2" i="103"/>
  <c r="BX23" i="103"/>
  <c r="B23" i="107" s="1"/>
  <c r="AK23" i="103"/>
  <c r="G24" i="104" l="1"/>
  <c r="AK39" i="103"/>
  <c r="CC15" i="103"/>
  <c r="I8" i="104"/>
  <c r="G39" i="104"/>
  <c r="BX4" i="106"/>
  <c r="DS42" i="106"/>
  <c r="DT42" i="106" s="1"/>
  <c r="DU42" i="106" s="1"/>
  <c r="AK38" i="103"/>
  <c r="CC17" i="103"/>
  <c r="AO2" i="103"/>
  <c r="AL3" i="103" s="1"/>
  <c r="BX21" i="103"/>
  <c r="BY24" i="103" s="1"/>
  <c r="BY26" i="103" s="1"/>
  <c r="BY39" i="103" s="1"/>
  <c r="BY42" i="103" s="1"/>
  <c r="BX47" i="103" s="1"/>
  <c r="BY49" i="103" s="1"/>
  <c r="BY50" i="103" s="1"/>
  <c r="AW7" i="106" l="1"/>
  <c r="AW8" i="106" s="1"/>
  <c r="AW9" i="106" s="1"/>
  <c r="AW10" i="106" s="1"/>
  <c r="AK8" i="106" s="1"/>
  <c r="I24" i="104"/>
  <c r="G40" i="104"/>
  <c r="B4" i="107"/>
  <c r="DS43" i="106"/>
  <c r="DT43" i="106" s="1"/>
  <c r="DU43" i="106" s="1"/>
  <c r="BX70" i="103"/>
  <c r="BY72" i="103" s="1"/>
  <c r="BY73" i="103" s="1"/>
  <c r="BI28" i="106" l="1"/>
  <c r="BI29" i="106" s="1"/>
  <c r="BI30" i="106" s="1"/>
  <c r="BI31" i="106" s="1"/>
  <c r="BI32" i="106" s="1"/>
  <c r="BI33" i="106" s="1"/>
  <c r="BI34" i="106" s="1"/>
  <c r="BI35" i="106" s="1"/>
  <c r="AK23" i="106" s="1"/>
  <c r="I40" i="104"/>
  <c r="I39" i="104"/>
  <c r="BX7" i="106"/>
  <c r="AJ2" i="106"/>
  <c r="AK38" i="106"/>
  <c r="DS44" i="106"/>
  <c r="DT44" i="106" s="1"/>
  <c r="DU44" i="106" s="1"/>
  <c r="B7" i="107" l="1"/>
  <c r="C10" i="107" s="1"/>
  <c r="C17" i="107" s="1"/>
  <c r="BY10" i="106"/>
  <c r="BY17" i="106" s="1"/>
  <c r="BX21" i="106"/>
  <c r="AO2" i="106"/>
  <c r="AL3" i="106" s="1"/>
  <c r="CC15" i="106"/>
  <c r="AK39" i="106"/>
  <c r="DS45" i="106"/>
  <c r="DT45" i="106" s="1"/>
  <c r="DU45" i="106" s="1"/>
  <c r="BY24" i="106" l="1"/>
  <c r="BY26" i="106" s="1"/>
  <c r="BY39" i="106" s="1"/>
  <c r="BY42" i="106" s="1"/>
  <c r="B21" i="107"/>
  <c r="C24" i="107" s="1"/>
  <c r="C26" i="107" s="1"/>
  <c r="C39" i="107" s="1"/>
  <c r="C42" i="107" s="1"/>
  <c r="CC17" i="106"/>
  <c r="G15" i="107"/>
  <c r="G17" i="107" s="1"/>
  <c r="DS46" i="106"/>
  <c r="DT46" i="106" s="1"/>
  <c r="DU46" i="106" s="1"/>
  <c r="B70" i="107" l="1"/>
  <c r="C72" i="107" s="1"/>
  <c r="C73" i="107" s="1"/>
  <c r="B47" i="107"/>
  <c r="C49" i="107" s="1"/>
  <c r="C50" i="107" s="1"/>
  <c r="BX47" i="106"/>
  <c r="BY49" i="106" s="1"/>
  <c r="BY50" i="106" s="1"/>
  <c r="BX70" i="106"/>
  <c r="BY72" i="106" s="1"/>
  <c r="BY73" i="106" s="1"/>
  <c r="DS47" i="106"/>
  <c r="DT47" i="106" s="1"/>
  <c r="DU47" i="106" s="1"/>
  <c r="DS48" i="106" l="1"/>
  <c r="DT48" i="106" s="1"/>
  <c r="DU48" i="106" s="1"/>
  <c r="DS49" i="106" l="1"/>
  <c r="DT49" i="106" s="1"/>
  <c r="DU49" i="106"/>
  <c r="DS50" i="106" l="1"/>
  <c r="DT50" i="106" s="1"/>
  <c r="DU50" i="106"/>
  <c r="DS51" i="106" l="1"/>
  <c r="DT51" i="106" s="1"/>
  <c r="DU51" i="106" s="1"/>
  <c r="DS52" i="106" l="1"/>
  <c r="DT52" i="106" s="1"/>
  <c r="DU52" i="106" s="1"/>
  <c r="DS53" i="106" l="1"/>
  <c r="DT53" i="106" s="1"/>
  <c r="DU53" i="106" s="1"/>
  <c r="DS54" i="106" l="1"/>
  <c r="DT54" i="106" s="1"/>
  <c r="DU54" i="106" s="1"/>
  <c r="DS55" i="106" l="1"/>
  <c r="DT55" i="106" s="1"/>
  <c r="DU55" i="106" s="1"/>
  <c r="DS56" i="106" l="1"/>
  <c r="DT56" i="106" s="1"/>
  <c r="DU56" i="106" s="1"/>
  <c r="DS57" i="106" l="1"/>
  <c r="DT57" i="106" s="1"/>
  <c r="DU57" i="106" s="1"/>
  <c r="DS58" i="106" l="1"/>
  <c r="DT58" i="106" s="1"/>
  <c r="DU58" i="106" s="1"/>
  <c r="DS59" i="106" l="1"/>
  <c r="DT59" i="106" s="1"/>
  <c r="DU59" i="106" s="1"/>
  <c r="DS60" i="106" l="1"/>
  <c r="DT60" i="106" s="1"/>
  <c r="DU60" i="106" s="1"/>
  <c r="DS61" i="106" l="1"/>
  <c r="DT61" i="106" s="1"/>
  <c r="DU61" i="106"/>
  <c r="DS62" i="106" l="1"/>
  <c r="DT62" i="106" s="1"/>
  <c r="DU62" i="106" s="1"/>
  <c r="DS63" i="106" l="1"/>
  <c r="DT63" i="106" s="1"/>
  <c r="DU63" i="106" s="1"/>
  <c r="DS64" i="106" l="1"/>
  <c r="DT64" i="106" s="1"/>
  <c r="DU64" i="106" s="1"/>
  <c r="DS65" i="106" l="1"/>
  <c r="DT65" i="106" s="1"/>
  <c r="DU65" i="106"/>
  <c r="DS66" i="106" l="1"/>
  <c r="DT66" i="106" s="1"/>
  <c r="DU66" i="106" s="1"/>
  <c r="DS67" i="106" l="1"/>
  <c r="DT67" i="106" s="1"/>
  <c r="DU67" i="106" s="1"/>
  <c r="DS68" i="106" l="1"/>
  <c r="DT68" i="106" s="1"/>
  <c r="DU68" i="106" s="1"/>
</calcChain>
</file>

<file path=xl/sharedStrings.xml><?xml version="1.0" encoding="utf-8"?>
<sst xmlns="http://schemas.openxmlformats.org/spreadsheetml/2006/main" count="1399" uniqueCount="187">
  <si>
    <t>Cash</t>
  </si>
  <si>
    <t>Accounts Receivable</t>
  </si>
  <si>
    <t>Accounts Payable</t>
  </si>
  <si>
    <t>Insurance Expense</t>
  </si>
  <si>
    <t>Balance</t>
  </si>
  <si>
    <t>Accounts</t>
  </si>
  <si>
    <t>Debit</t>
  </si>
  <si>
    <t>Credit</t>
  </si>
  <si>
    <t>Net Income</t>
  </si>
  <si>
    <t>Accumulated Depreciation</t>
  </si>
  <si>
    <t>Assets</t>
  </si>
  <si>
    <t>=</t>
  </si>
  <si>
    <t>Liabilities</t>
  </si>
  <si>
    <t>+</t>
  </si>
  <si>
    <t>Owner's Equity</t>
  </si>
  <si>
    <t>Beginning Balance</t>
  </si>
  <si>
    <t xml:space="preserve">   </t>
  </si>
  <si>
    <t>(Credit)</t>
  </si>
  <si>
    <t>Prepaid Insurance</t>
  </si>
  <si>
    <t>Balance Sheet</t>
  </si>
  <si>
    <t>Current assets:</t>
  </si>
  <si>
    <t>Total Liabilities</t>
  </si>
  <si>
    <t>Income Statement</t>
  </si>
  <si>
    <t>Expenses:</t>
  </si>
  <si>
    <t>Total expenses</t>
  </si>
  <si>
    <t>Statement of Owner's Equity</t>
  </si>
  <si>
    <t>Draws</t>
  </si>
  <si>
    <t>Date</t>
  </si>
  <si>
    <t>Total Debits - Total (credits)</t>
  </si>
  <si>
    <t>Misc. Expense</t>
  </si>
  <si>
    <t>Trial Balance</t>
  </si>
  <si>
    <t>Total Assets</t>
  </si>
  <si>
    <t>Unearned Revenue</t>
  </si>
  <si>
    <t>Accounts Receivable Subsidiary Ledger By Customer</t>
  </si>
  <si>
    <t>Revenue:</t>
  </si>
  <si>
    <t>Equity:</t>
  </si>
  <si>
    <t>Total AR subsidiary ledger by customer</t>
  </si>
  <si>
    <t>General Journal</t>
  </si>
  <si>
    <t>Total current assets</t>
  </si>
  <si>
    <t>Checking</t>
  </si>
  <si>
    <t>Inventory Asset</t>
  </si>
  <si>
    <t>Visa</t>
  </si>
  <si>
    <t>Interest Payable</t>
  </si>
  <si>
    <t>Owners Draw</t>
  </si>
  <si>
    <t>Owners Equity</t>
  </si>
  <si>
    <t>Merchandise Sales</t>
  </si>
  <si>
    <t>Service</t>
  </si>
  <si>
    <t>Cost of Goods Sold</t>
  </si>
  <si>
    <t>Bank Service Charges</t>
  </si>
  <si>
    <t>Depreciation Expense</t>
  </si>
  <si>
    <t>Interest Expense</t>
  </si>
  <si>
    <t>Office Supplies</t>
  </si>
  <si>
    <t>Payroll Expenses</t>
  </si>
  <si>
    <t>Telephone Expense</t>
  </si>
  <si>
    <t>Utilities</t>
  </si>
  <si>
    <t>Interest Income</t>
  </si>
  <si>
    <t>Loan Payable -  Long Term</t>
  </si>
  <si>
    <t>Rent Music Equipment</t>
  </si>
  <si>
    <t>Loan Payable - Current</t>
  </si>
  <si>
    <t>Payroll Liability</t>
  </si>
  <si>
    <r>
      <t xml:space="preserve">General Ledger </t>
    </r>
    <r>
      <rPr>
        <sz val="16"/>
        <color theme="0"/>
        <rFont val="Calibri"/>
        <family val="2"/>
        <scheme val="minor"/>
      </rPr>
      <t>General Ledger General Ledger General Ledger General Ledger General Ledger General Ledger General Ledger General Ledger General Ledger General Ledger</t>
    </r>
  </si>
  <si>
    <t>Sales Tax Payable</t>
  </si>
  <si>
    <t>Internet Expense</t>
  </si>
  <si>
    <t>Less: Accumulated Depreciation</t>
  </si>
  <si>
    <t>Total Property Plant &amp; Equipment</t>
  </si>
  <si>
    <t>Current Liabilities:</t>
  </si>
  <si>
    <t>Credit card</t>
  </si>
  <si>
    <t>Total Current Liabilities</t>
  </si>
  <si>
    <t>Total Liabilities &amp; Equity</t>
  </si>
  <si>
    <t>Furniture &amp; Equipment</t>
  </si>
  <si>
    <t xml:space="preserve">Property Plant &amp; Equipment: </t>
  </si>
  <si>
    <t>Short-Term Investments</t>
  </si>
  <si>
    <t>Total revenue</t>
  </si>
  <si>
    <t>Gross Profit</t>
  </si>
  <si>
    <t>Net Ordinary Income</t>
  </si>
  <si>
    <t>Net Income (Loss)</t>
  </si>
  <si>
    <t>Beginning Owner's Equity</t>
  </si>
  <si>
    <t>Net decrease</t>
  </si>
  <si>
    <t>Owner Investment</t>
  </si>
  <si>
    <t>Ending Owner's Equity</t>
  </si>
  <si>
    <t>Net Income (loss)</t>
  </si>
  <si>
    <t>Purchases</t>
  </si>
  <si>
    <t>Cost of Merchandise Sold</t>
  </si>
  <si>
    <t>Inventory</t>
  </si>
  <si>
    <t>Unit</t>
  </si>
  <si>
    <t>Total</t>
  </si>
  <si>
    <t>Quantity</t>
  </si>
  <si>
    <t>Cost</t>
  </si>
  <si>
    <t>ELP</t>
  </si>
  <si>
    <t>ENLPBUNH3</t>
  </si>
  <si>
    <t>ERP93</t>
  </si>
  <si>
    <t>GTPROBK1</t>
  </si>
  <si>
    <t>GUSAM2</t>
  </si>
  <si>
    <t>WILDKAT</t>
  </si>
  <si>
    <t xml:space="preserve">   Owners Equity</t>
  </si>
  <si>
    <t>Anderson Guitars</t>
  </si>
  <si>
    <t>Jones Guitars</t>
  </si>
  <si>
    <t>Smith Guitars</t>
  </si>
  <si>
    <t>Accounts Payable Subsidiary Ledger</t>
  </si>
  <si>
    <t>Accounts Receivable Subsidiary Ledger balance</t>
  </si>
  <si>
    <t>Epiphone</t>
  </si>
  <si>
    <t>Undeposited Funds</t>
  </si>
  <si>
    <t>GSB</t>
  </si>
  <si>
    <t>Eric Misic</t>
  </si>
  <si>
    <t>Music Stuff Store</t>
  </si>
  <si>
    <t>Job 3005 Jones</t>
  </si>
  <si>
    <t>Sam The Guitar Man</t>
  </si>
  <si>
    <t>Job 4002 Sam The Guitar Man</t>
  </si>
  <si>
    <t>Payroll Register</t>
  </si>
  <si>
    <t>01/01</t>
  </si>
  <si>
    <t>01/31</t>
  </si>
  <si>
    <t>Name</t>
  </si>
  <si>
    <t>Pay</t>
  </si>
  <si>
    <t>Earnings</t>
  </si>
  <si>
    <t>Social</t>
  </si>
  <si>
    <t>Secutity</t>
  </si>
  <si>
    <t>Medicare</t>
  </si>
  <si>
    <t>Income</t>
  </si>
  <si>
    <t>Tax</t>
  </si>
  <si>
    <t>Net</t>
  </si>
  <si>
    <t>Adam Hamulton</t>
  </si>
  <si>
    <t>Exployee</t>
  </si>
  <si>
    <t>Employer</t>
  </si>
  <si>
    <t>Erica</t>
  </si>
  <si>
    <t>Other Income/Expense:</t>
  </si>
  <si>
    <t>Net increase</t>
  </si>
  <si>
    <t>Closing Entries</t>
  </si>
  <si>
    <t>Post Closing Trial Balance</t>
  </si>
  <si>
    <t>Income Summary</t>
  </si>
  <si>
    <t>Loan Amortization</t>
  </si>
  <si>
    <t xml:space="preserve">Loan  </t>
  </si>
  <si>
    <t>Rate</t>
  </si>
  <si>
    <t>Payments</t>
  </si>
  <si>
    <t>Payment</t>
  </si>
  <si>
    <t>Amount</t>
  </si>
  <si>
    <t>Number</t>
  </si>
  <si>
    <t>Interest</t>
  </si>
  <si>
    <t>Principle</t>
  </si>
  <si>
    <t>Reduction</t>
  </si>
  <si>
    <t>Monthly Payments</t>
  </si>
  <si>
    <t>Fender</t>
  </si>
  <si>
    <t>SQ</t>
  </si>
  <si>
    <t>String Music</t>
  </si>
  <si>
    <t>Verizon</t>
  </si>
  <si>
    <t>Spectrum</t>
  </si>
  <si>
    <t>Edison</t>
  </si>
  <si>
    <t>Star Lee</t>
  </si>
  <si>
    <t>Diana Martinez</t>
  </si>
  <si>
    <t>Lin Jackson</t>
  </si>
  <si>
    <t>Jenny Jones</t>
  </si>
  <si>
    <t>Diana Miller</t>
  </si>
  <si>
    <t>Jill Gonzalez</t>
  </si>
  <si>
    <t>Noah Davis</t>
  </si>
  <si>
    <t>Pam Smith</t>
  </si>
  <si>
    <t>Grace Mathew</t>
  </si>
  <si>
    <t>2/1</t>
  </si>
  <si>
    <t>2/28</t>
  </si>
  <si>
    <t>Banks Statement for the Month Ended 2/28/21</t>
  </si>
  <si>
    <t>Balance as of February 1</t>
  </si>
  <si>
    <t>Total additions</t>
  </si>
  <si>
    <t>Total checks, withdraws and fees</t>
  </si>
  <si>
    <t>Deposits:</t>
  </si>
  <si>
    <t>Checks and Withdraws:</t>
  </si>
  <si>
    <t xml:space="preserve">Date </t>
  </si>
  <si>
    <t>Check #</t>
  </si>
  <si>
    <t>Withdrawal</t>
  </si>
  <si>
    <t>Bank service charges</t>
  </si>
  <si>
    <t>Totals</t>
  </si>
  <si>
    <t>Bank Balance</t>
  </si>
  <si>
    <t>Bank Reconciliation</t>
  </si>
  <si>
    <t>Book Balance</t>
  </si>
  <si>
    <t>Banks Statement for the Month Ended 1/31/21</t>
  </si>
  <si>
    <t>Balance as of January 1</t>
  </si>
  <si>
    <t>Balance as of January 31</t>
  </si>
  <si>
    <t>Outstanding Check</t>
  </si>
  <si>
    <t>Outstanding dep</t>
  </si>
  <si>
    <t>Bank service charge</t>
  </si>
  <si>
    <t>Adjusted bank balance</t>
  </si>
  <si>
    <t>Month Ended January 31</t>
  </si>
  <si>
    <t>Adjusted Bank Balance</t>
  </si>
  <si>
    <t>Balance as of February 28</t>
  </si>
  <si>
    <t>Checking January</t>
  </si>
  <si>
    <t>Checking February</t>
  </si>
  <si>
    <t>Misc Exp</t>
  </si>
  <si>
    <t>Month Ended February 31</t>
  </si>
  <si>
    <t>this was BSC</t>
  </si>
  <si>
    <t>this was withdrawl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</si>
</sst>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$&quot;#,##0_);\(&quot;$&quot;#,##0\)"/>
    <numFmt numFmtId="164" formatCode="m/d"/>
    <numFmt numFmtId="165" formatCode="m/d;@"/>
  </numFmts>
  <fonts count="29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92D05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FFC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rgb="FF00B0F0"/>
      <name val="Calibri"/>
      <family val="2"/>
      <scheme val="minor"/>
    </font>
    <font>
      <b/>
      <sz val="12"/>
      <color rgb="FFFFC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3"/>
      <name val="Calibri"/>
      <family val="2"/>
      <scheme val="minor"/>
    </font>
    <font>
      <b/>
      <sz val="12"/>
      <color rgb="FF92D050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10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 val="double"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b/>
      <u/>
      <sz val="11"/>
      <color theme="3"/>
      <name val="Calibri"/>
      <family val="2"/>
      <scheme val="minor"/>
    </font>
    <font>
      <b/>
      <sz val="1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8"/>
      <color theme="3"/>
      <name val="Calibri Light"/>
      <family val="2"/>
      <scheme val="major"/>
    </font>
    <font>
      <b/>
      <sz val="20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</patternFill>
    </fill>
    <fill>
      <patternFill patternType="solid">
        <fgColor theme="9"/>
      </patternFill>
    </fill>
    <fill>
      <patternFill patternType="solid">
        <fgColor rgb="FF0070C0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9" tint="0.79998168889431442"/>
        <bgColor indexed="64"/>
      </patternFill>
    </fill>
  </fills>
  <borders count="56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theme="5" tint="0.39994506668294322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theme="5" tint="0.39994506668294322"/>
      </right>
      <top style="thin">
        <color indexed="64"/>
      </top>
      <bottom style="thin">
        <color indexed="64"/>
      </bottom>
      <diagonal/>
    </border>
    <border>
      <left style="thick">
        <color theme="7" tint="0.39994506668294322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theme="7" tint="0.39994506668294322"/>
      </right>
      <top style="thin">
        <color indexed="64"/>
      </top>
      <bottom style="thin">
        <color indexed="64"/>
      </bottom>
      <diagonal/>
    </border>
    <border>
      <left style="thick">
        <color theme="9" tint="0.59996337778862885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theme="5" tint="0.39994506668294322"/>
      </left>
      <right style="thin">
        <color indexed="64"/>
      </right>
      <top style="thin">
        <color indexed="64"/>
      </top>
      <bottom style="thick">
        <color theme="5" tint="0.399914548173467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theme="5" tint="0.39991454817346722"/>
      </bottom>
      <diagonal/>
    </border>
    <border>
      <left style="thin">
        <color indexed="64"/>
      </left>
      <right style="thick">
        <color theme="5" tint="0.39994506668294322"/>
      </right>
      <top style="thin">
        <color indexed="64"/>
      </top>
      <bottom style="thick">
        <color theme="5" tint="0.39991454817346722"/>
      </bottom>
      <diagonal/>
    </border>
    <border>
      <left style="thick">
        <color theme="7" tint="0.39994506668294322"/>
      </left>
      <right style="thin">
        <color indexed="64"/>
      </right>
      <top style="thin">
        <color indexed="64"/>
      </top>
      <bottom style="thick">
        <color theme="7" tint="0.399914548173467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theme="7" tint="0.39991454817346722"/>
      </bottom>
      <diagonal/>
    </border>
    <border>
      <left style="thin">
        <color indexed="64"/>
      </left>
      <right style="thick">
        <color theme="7" tint="0.39994506668294322"/>
      </right>
      <top style="thin">
        <color indexed="64"/>
      </top>
      <bottom style="thick">
        <color theme="7" tint="0.39991454817346722"/>
      </bottom>
      <diagonal/>
    </border>
    <border>
      <left style="thick">
        <color theme="9" tint="0.59996337778862885"/>
      </left>
      <right style="thin">
        <color indexed="64"/>
      </right>
      <top style="thin">
        <color indexed="64"/>
      </top>
      <bottom style="thick">
        <color theme="9" tint="0.5999633777886288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theme="9" tint="0.59996337778862885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theme="5" tint="0.39994506668294322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theme="5" tint="0.39994506668294322"/>
      </right>
      <top/>
      <bottom style="thin">
        <color indexed="64"/>
      </bottom>
      <diagonal/>
    </border>
    <border>
      <left style="thick">
        <color theme="7" tint="0.39994506668294322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theme="7" tint="0.39994506668294322"/>
      </right>
      <top/>
      <bottom style="thin">
        <color indexed="64"/>
      </bottom>
      <diagonal/>
    </border>
    <border>
      <left style="thick">
        <color theme="9" tint="0.59996337778862885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thick">
        <color theme="4" tint="0.499984740745262"/>
      </bottom>
      <diagonal/>
    </border>
    <border>
      <left/>
      <right style="medium">
        <color indexed="64"/>
      </right>
      <top/>
      <bottom style="thick">
        <color theme="4" tint="0.499984740745262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0" fontId="2" fillId="0" borderId="1" applyNumberFormat="0" applyFill="0" applyAlignment="0" applyProtection="0"/>
    <xf numFmtId="0" fontId="2" fillId="0" borderId="0" applyNumberFormat="0" applyFill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0" borderId="8" applyNumberFormat="0" applyFill="0" applyAlignment="0" applyProtection="0"/>
    <xf numFmtId="0" fontId="17" fillId="8" borderId="0" applyNumberFormat="0" applyBorder="0" applyAlignment="0" applyProtection="0"/>
    <xf numFmtId="0" fontId="17" fillId="9" borderId="0" applyNumberFormat="0" applyBorder="0" applyAlignment="0" applyProtection="0"/>
    <xf numFmtId="9" fontId="3" fillId="0" borderId="0" applyFont="0" applyFill="0" applyBorder="0" applyAlignment="0" applyProtection="0"/>
    <xf numFmtId="0" fontId="25" fillId="0" borderId="0" applyNumberFormat="0" applyFill="0" applyBorder="0" applyAlignment="0" applyProtection="0"/>
    <xf numFmtId="0" fontId="28" fillId="0" borderId="47" applyNumberFormat="0" applyFill="0" applyAlignment="0" applyProtection="0"/>
  </cellStyleXfs>
  <cellXfs count="264">
    <xf numFmtId="0" fontId="0" fillId="0" borderId="0" xfId="0"/>
    <xf numFmtId="37" fontId="6" fillId="4" borderId="0" xfId="2" applyNumberFormat="1" applyFont="1" applyFill="1"/>
    <xf numFmtId="37" fontId="10" fillId="4" borderId="0" xfId="2" applyNumberFormat="1" applyFont="1" applyFill="1"/>
    <xf numFmtId="37" fontId="15" fillId="4" borderId="0" xfId="2" applyNumberFormat="1" applyFont="1" applyFill="1"/>
    <xf numFmtId="37" fontId="12" fillId="5" borderId="5" xfId="0" applyNumberFormat="1" applyFont="1" applyFill="1" applyBorder="1" applyProtection="1">
      <protection locked="0"/>
    </xf>
    <xf numFmtId="37" fontId="5" fillId="4" borderId="0" xfId="2" applyNumberFormat="1" applyFont="1" applyFill="1" applyAlignment="1">
      <alignment horizontal="center"/>
    </xf>
    <xf numFmtId="37" fontId="9" fillId="4" borderId="0" xfId="0" applyNumberFormat="1" applyFont="1" applyFill="1" applyAlignment="1">
      <alignment horizontal="center"/>
    </xf>
    <xf numFmtId="37" fontId="11" fillId="4" borderId="5" xfId="2" applyNumberFormat="1" applyFont="1" applyFill="1" applyBorder="1"/>
    <xf numFmtId="37" fontId="10" fillId="4" borderId="5" xfId="2" applyNumberFormat="1" applyFont="1" applyFill="1" applyBorder="1"/>
    <xf numFmtId="37" fontId="5" fillId="4" borderId="5" xfId="0" applyNumberFormat="1" applyFont="1" applyFill="1" applyBorder="1"/>
    <xf numFmtId="37" fontId="13" fillId="4" borderId="7" xfId="2" applyNumberFormat="1" applyFont="1" applyFill="1" applyBorder="1"/>
    <xf numFmtId="37" fontId="15" fillId="4" borderId="5" xfId="2" applyNumberFormat="1" applyFont="1" applyFill="1" applyBorder="1"/>
    <xf numFmtId="37" fontId="4" fillId="5" borderId="5" xfId="0" applyNumberFormat="1" applyFont="1" applyFill="1" applyBorder="1"/>
    <xf numFmtId="0" fontId="16" fillId="0" borderId="0" xfId="2" applyFont="1" applyFill="1"/>
    <xf numFmtId="0" fontId="4" fillId="0" borderId="0" xfId="0" applyFont="1" applyAlignment="1">
      <alignment horizontal="left"/>
    </xf>
    <xf numFmtId="37" fontId="4" fillId="5" borderId="5" xfId="0" applyNumberFormat="1" applyFont="1" applyFill="1" applyBorder="1" applyProtection="1">
      <protection locked="0"/>
    </xf>
    <xf numFmtId="0" fontId="4" fillId="0" borderId="0" xfId="0" applyFont="1"/>
    <xf numFmtId="37" fontId="4" fillId="0" borderId="0" xfId="0" applyNumberFormat="1" applyFont="1"/>
    <xf numFmtId="37" fontId="4" fillId="2" borderId="5" xfId="3" applyNumberFormat="1" applyFont="1" applyBorder="1" applyAlignment="1">
      <alignment horizontal="center"/>
    </xf>
    <xf numFmtId="0" fontId="4" fillId="0" borderId="0" xfId="0" applyFont="1" applyFill="1"/>
    <xf numFmtId="37" fontId="4" fillId="0" borderId="0" xfId="0" applyNumberFormat="1" applyFont="1" applyFill="1"/>
    <xf numFmtId="37" fontId="4" fillId="0" borderId="0" xfId="3" applyNumberFormat="1" applyFont="1" applyFill="1" applyBorder="1" applyAlignment="1">
      <alignment horizontal="centerContinuous"/>
    </xf>
    <xf numFmtId="37" fontId="4" fillId="0" borderId="0" xfId="3" applyNumberFormat="1" applyFont="1" applyFill="1" applyBorder="1" applyAlignment="1">
      <alignment horizontal="center"/>
    </xf>
    <xf numFmtId="37" fontId="5" fillId="0" borderId="0" xfId="0" applyNumberFormat="1" applyFont="1" applyFill="1" applyBorder="1"/>
    <xf numFmtId="37" fontId="4" fillId="0" borderId="0" xfId="0" applyNumberFormat="1" applyFont="1" applyFill="1" applyBorder="1" applyProtection="1">
      <protection locked="0"/>
    </xf>
    <xf numFmtId="0" fontId="4" fillId="0" borderId="0" xfId="0" applyFont="1" applyFill="1" applyBorder="1"/>
    <xf numFmtId="37" fontId="4" fillId="0" borderId="0" xfId="0" applyNumberFormat="1" applyFont="1" applyFill="1" applyBorder="1"/>
    <xf numFmtId="0" fontId="4" fillId="0" borderId="0" xfId="0" applyFont="1" applyProtection="1"/>
    <xf numFmtId="37" fontId="5" fillId="4" borderId="5" xfId="0" applyNumberFormat="1" applyFont="1" applyFill="1" applyBorder="1" applyProtection="1"/>
    <xf numFmtId="37" fontId="4" fillId="5" borderId="5" xfId="0" applyNumberFormat="1" applyFont="1" applyFill="1" applyBorder="1" applyAlignment="1">
      <alignment horizontal="left" indent="1"/>
    </xf>
    <xf numFmtId="37" fontId="4" fillId="5" borderId="5" xfId="0" applyNumberFormat="1" applyFont="1" applyFill="1" applyBorder="1" applyAlignment="1">
      <alignment horizontal="left" indent="2"/>
    </xf>
    <xf numFmtId="37" fontId="18" fillId="5" borderId="5" xfId="0" applyNumberFormat="1" applyFont="1" applyFill="1" applyBorder="1"/>
    <xf numFmtId="37" fontId="19" fillId="5" borderId="5" xfId="0" applyNumberFormat="1" applyFont="1" applyFill="1" applyBorder="1"/>
    <xf numFmtId="37" fontId="20" fillId="9" borderId="5" xfId="7" applyNumberFormat="1" applyFont="1" applyBorder="1" applyAlignment="1" applyProtection="1">
      <alignment horizontal="left"/>
    </xf>
    <xf numFmtId="37" fontId="20" fillId="8" borderId="5" xfId="6" applyNumberFormat="1" applyFont="1" applyBorder="1" applyAlignment="1" applyProtection="1">
      <alignment horizontal="left"/>
    </xf>
    <xf numFmtId="0" fontId="20" fillId="6" borderId="5" xfId="2" applyFont="1" applyFill="1" applyBorder="1"/>
    <xf numFmtId="0" fontId="20" fillId="10" borderId="5" xfId="2" applyFont="1" applyFill="1" applyBorder="1"/>
    <xf numFmtId="37" fontId="20" fillId="9" borderId="2" xfId="7" applyNumberFormat="1" applyFont="1" applyBorder="1" applyAlignment="1" applyProtection="1">
      <alignment horizontal="centerContinuous"/>
    </xf>
    <xf numFmtId="37" fontId="20" fillId="8" borderId="2" xfId="6" applyNumberFormat="1" applyFont="1" applyBorder="1" applyAlignment="1" applyProtection="1">
      <alignment horizontal="centerContinuous"/>
    </xf>
    <xf numFmtId="37" fontId="20" fillId="8" borderId="15" xfId="6" applyNumberFormat="1" applyFont="1" applyBorder="1" applyAlignment="1" applyProtection="1">
      <alignment horizontal="centerContinuous"/>
    </xf>
    <xf numFmtId="37" fontId="20" fillId="9" borderId="15" xfId="7" applyNumberFormat="1" applyFont="1" applyBorder="1" applyAlignment="1" applyProtection="1">
      <alignment horizontal="centerContinuous"/>
    </xf>
    <xf numFmtId="37" fontId="8" fillId="4" borderId="5" xfId="0" applyNumberFormat="1" applyFont="1" applyFill="1" applyBorder="1"/>
    <xf numFmtId="0" fontId="20" fillId="11" borderId="0" xfId="0" applyFont="1" applyFill="1" applyAlignment="1">
      <alignment horizontal="centerContinuous"/>
    </xf>
    <xf numFmtId="37" fontId="20" fillId="11" borderId="0" xfId="0" applyNumberFormat="1" applyFont="1" applyFill="1" applyAlignment="1">
      <alignment horizontal="centerContinuous"/>
    </xf>
    <xf numFmtId="0" fontId="20" fillId="11" borderId="0" xfId="1" applyFont="1" applyFill="1" applyBorder="1" applyAlignment="1">
      <alignment horizontal="center"/>
    </xf>
    <xf numFmtId="37" fontId="21" fillId="11" borderId="2" xfId="4" applyNumberFormat="1" applyFont="1" applyFill="1" applyBorder="1" applyAlignment="1">
      <alignment horizontal="centerContinuous"/>
    </xf>
    <xf numFmtId="164" fontId="12" fillId="5" borderId="5" xfId="0" applyNumberFormat="1" applyFont="1" applyFill="1" applyBorder="1" applyAlignment="1">
      <alignment horizontal="left"/>
    </xf>
    <xf numFmtId="37" fontId="14" fillId="4" borderId="10" xfId="2" applyNumberFormat="1" applyFont="1" applyFill="1" applyBorder="1"/>
    <xf numFmtId="37" fontId="20" fillId="10" borderId="16" xfId="3" applyNumberFormat="1" applyFont="1" applyFill="1" applyBorder="1" applyAlignment="1">
      <alignment horizontal="centerContinuous"/>
    </xf>
    <xf numFmtId="37" fontId="20" fillId="10" borderId="17" xfId="3" applyNumberFormat="1" applyFont="1" applyFill="1" applyBorder="1" applyAlignment="1">
      <alignment horizontal="centerContinuous"/>
    </xf>
    <xf numFmtId="37" fontId="20" fillId="10" borderId="18" xfId="3" applyNumberFormat="1" applyFont="1" applyFill="1" applyBorder="1" applyAlignment="1">
      <alignment horizontal="centerContinuous"/>
    </xf>
    <xf numFmtId="37" fontId="7" fillId="0" borderId="0" xfId="2" applyNumberFormat="1" applyFont="1" applyFill="1" applyBorder="1"/>
    <xf numFmtId="37" fontId="15" fillId="0" borderId="0" xfId="2" applyNumberFormat="1" applyFont="1" applyFill="1" applyBorder="1"/>
    <xf numFmtId="37" fontId="4" fillId="2" borderId="6" xfId="3" applyNumberFormat="1" applyFont="1" applyBorder="1" applyAlignment="1">
      <alignment horizontal="center"/>
    </xf>
    <xf numFmtId="37" fontId="4" fillId="2" borderId="12" xfId="3" applyNumberFormat="1" applyFont="1" applyBorder="1" applyAlignment="1">
      <alignment horizontal="center"/>
    </xf>
    <xf numFmtId="37" fontId="4" fillId="2" borderId="19" xfId="3" applyNumberFormat="1" applyFont="1" applyBorder="1" applyAlignment="1">
      <alignment horizontal="center"/>
    </xf>
    <xf numFmtId="37" fontId="5" fillId="4" borderId="6" xfId="0" applyNumberFormat="1" applyFont="1" applyFill="1" applyBorder="1"/>
    <xf numFmtId="37" fontId="8" fillId="4" borderId="6" xfId="0" applyNumberFormat="1" applyFont="1" applyFill="1" applyBorder="1"/>
    <xf numFmtId="37" fontId="7" fillId="4" borderId="0" xfId="2" applyNumberFormat="1" applyFont="1" applyFill="1"/>
    <xf numFmtId="37" fontId="20" fillId="6" borderId="16" xfId="3" applyNumberFormat="1" applyFont="1" applyFill="1" applyBorder="1" applyAlignment="1">
      <alignment horizontal="centerContinuous"/>
    </xf>
    <xf numFmtId="37" fontId="20" fillId="6" borderId="17" xfId="3" applyNumberFormat="1" applyFont="1" applyFill="1" applyBorder="1" applyAlignment="1">
      <alignment horizontal="centerContinuous"/>
    </xf>
    <xf numFmtId="37" fontId="20" fillId="6" borderId="18" xfId="3" applyNumberFormat="1" applyFont="1" applyFill="1" applyBorder="1" applyAlignment="1">
      <alignment horizontal="centerContinuous"/>
    </xf>
    <xf numFmtId="37" fontId="7" fillId="4" borderId="5" xfId="0" applyNumberFormat="1" applyFont="1" applyFill="1" applyBorder="1"/>
    <xf numFmtId="37" fontId="21" fillId="11" borderId="15" xfId="4" applyNumberFormat="1" applyFont="1" applyFill="1" applyBorder="1" applyAlignment="1">
      <alignment horizontal="centerContinuous"/>
    </xf>
    <xf numFmtId="164" fontId="12" fillId="5" borderId="10" xfId="0" applyNumberFormat="1" applyFont="1" applyFill="1" applyBorder="1" applyAlignment="1">
      <alignment horizontal="left"/>
    </xf>
    <xf numFmtId="37" fontId="4" fillId="5" borderId="5" xfId="0" applyNumberFormat="1" applyFont="1" applyFill="1" applyBorder="1" applyProtection="1"/>
    <xf numFmtId="37" fontId="4" fillId="0" borderId="8" xfId="5" applyNumberFormat="1" applyFont="1" applyFill="1" applyProtection="1"/>
    <xf numFmtId="37" fontId="10" fillId="4" borderId="0" xfId="0" applyNumberFormat="1" applyFont="1" applyFill="1"/>
    <xf numFmtId="0" fontId="20" fillId="11" borderId="0" xfId="1" applyFont="1" applyFill="1" applyBorder="1" applyAlignment="1">
      <alignment horizontal="center" wrapText="1"/>
    </xf>
    <xf numFmtId="37" fontId="6" fillId="4" borderId="0" xfId="2" applyNumberFormat="1" applyFont="1" applyFill="1" applyAlignment="1">
      <alignment horizontal="center" wrapText="1"/>
    </xf>
    <xf numFmtId="37" fontId="20" fillId="11" borderId="0" xfId="0" applyNumberFormat="1" applyFont="1" applyFill="1"/>
    <xf numFmtId="0" fontId="4" fillId="12" borderId="0" xfId="0" applyFont="1" applyFill="1"/>
    <xf numFmtId="0" fontId="4" fillId="4" borderId="0" xfId="0" applyFont="1" applyFill="1"/>
    <xf numFmtId="37" fontId="4" fillId="0" borderId="0" xfId="5" applyNumberFormat="1" applyFont="1" applyFill="1" applyBorder="1" applyProtection="1"/>
    <xf numFmtId="0" fontId="4" fillId="0" borderId="0" xfId="0" applyFont="1" applyBorder="1" applyProtection="1"/>
    <xf numFmtId="37" fontId="8" fillId="0" borderId="0" xfId="0" applyNumberFormat="1" applyFont="1" applyFill="1" applyBorder="1"/>
    <xf numFmtId="37" fontId="4" fillId="5" borderId="14" xfId="0" applyNumberFormat="1" applyFont="1" applyFill="1" applyBorder="1" applyProtection="1">
      <protection locked="0"/>
    </xf>
    <xf numFmtId="37" fontId="8" fillId="4" borderId="9" xfId="0" applyNumberFormat="1" applyFont="1" applyFill="1" applyBorder="1"/>
    <xf numFmtId="37" fontId="8" fillId="4" borderId="14" xfId="0" applyNumberFormat="1" applyFont="1" applyFill="1" applyBorder="1"/>
    <xf numFmtId="37" fontId="5" fillId="4" borderId="14" xfId="0" applyNumberFormat="1" applyFont="1" applyFill="1" applyBorder="1"/>
    <xf numFmtId="37" fontId="1" fillId="0" borderId="0" xfId="0" applyNumberFormat="1" applyFont="1" applyAlignment="1">
      <alignment horizontal="centerContinuous"/>
    </xf>
    <xf numFmtId="37" fontId="0" fillId="0" borderId="0" xfId="0" applyNumberFormat="1" applyProtection="1"/>
    <xf numFmtId="16" fontId="2" fillId="5" borderId="6" xfId="2" applyNumberFormat="1" applyFill="1" applyBorder="1" applyAlignment="1" applyProtection="1">
      <alignment horizontal="left"/>
    </xf>
    <xf numFmtId="37" fontId="2" fillId="5" borderId="20" xfId="2" applyNumberFormat="1" applyFill="1" applyBorder="1" applyProtection="1"/>
    <xf numFmtId="37" fontId="2" fillId="5" borderId="5" xfId="2" applyNumberFormat="1" applyFill="1" applyBorder="1" applyProtection="1"/>
    <xf numFmtId="37" fontId="2" fillId="5" borderId="22" xfId="2" applyNumberFormat="1" applyFill="1" applyBorder="1" applyProtection="1"/>
    <xf numFmtId="37" fontId="2" fillId="5" borderId="24" xfId="2" applyNumberFormat="1" applyFill="1" applyBorder="1" applyProtection="1"/>
    <xf numFmtId="37" fontId="2" fillId="5" borderId="25" xfId="2" applyNumberFormat="1" applyFill="1" applyBorder="1" applyProtection="1"/>
    <xf numFmtId="37" fontId="2" fillId="5" borderId="26" xfId="2" applyNumberFormat="1" applyFill="1" applyBorder="1" applyProtection="1"/>
    <xf numFmtId="37" fontId="2" fillId="5" borderId="28" xfId="2" applyNumberFormat="1" applyFill="1" applyBorder="1" applyProtection="1"/>
    <xf numFmtId="37" fontId="2" fillId="5" borderId="31" xfId="2" applyNumberFormat="1" applyFill="1" applyBorder="1" applyProtection="1"/>
    <xf numFmtId="16" fontId="2" fillId="5" borderId="19" xfId="2" applyNumberFormat="1" applyFill="1" applyBorder="1" applyAlignment="1" applyProtection="1">
      <alignment horizontal="left"/>
    </xf>
    <xf numFmtId="37" fontId="2" fillId="0" borderId="33" xfId="1" applyNumberFormat="1" applyBorder="1" applyAlignment="1" applyProtection="1">
      <alignment horizontal="left" vertical="top" wrapText="1"/>
    </xf>
    <xf numFmtId="37" fontId="2" fillId="0" borderId="34" xfId="1" applyNumberFormat="1" applyBorder="1" applyAlignment="1" applyProtection="1">
      <alignment horizontal="left" vertical="top" wrapText="1"/>
    </xf>
    <xf numFmtId="37" fontId="2" fillId="5" borderId="35" xfId="2" applyNumberFormat="1" applyFill="1" applyBorder="1" applyProtection="1"/>
    <xf numFmtId="37" fontId="2" fillId="0" borderId="33" xfId="1" applyNumberFormat="1" applyBorder="1" applyAlignment="1" applyProtection="1">
      <alignment horizontal="center" vertical="top" wrapText="1"/>
    </xf>
    <xf numFmtId="37" fontId="2" fillId="0" borderId="34" xfId="1" applyNumberFormat="1" applyBorder="1" applyAlignment="1" applyProtection="1">
      <alignment horizontal="center" vertical="top" wrapText="1"/>
    </xf>
    <xf numFmtId="37" fontId="2" fillId="5" borderId="12" xfId="2" applyNumberFormat="1" applyFill="1" applyBorder="1" applyProtection="1"/>
    <xf numFmtId="37" fontId="2" fillId="5" borderId="37" xfId="2" applyNumberFormat="1" applyFill="1" applyBorder="1" applyProtection="1"/>
    <xf numFmtId="37" fontId="2" fillId="5" borderId="39" xfId="2" applyNumberFormat="1" applyFill="1" applyBorder="1" applyProtection="1"/>
    <xf numFmtId="37" fontId="20" fillId="16" borderId="0" xfId="1" applyNumberFormat="1" applyFont="1" applyFill="1" applyBorder="1" applyAlignment="1" applyProtection="1">
      <alignment horizontal="left" vertical="top" wrapText="1"/>
    </xf>
    <xf numFmtId="5" fontId="2" fillId="5" borderId="12" xfId="2" applyNumberFormat="1" applyFill="1" applyBorder="1" applyProtection="1"/>
    <xf numFmtId="5" fontId="2" fillId="5" borderId="36" xfId="2" applyNumberFormat="1" applyFill="1" applyBorder="1" applyProtection="1"/>
    <xf numFmtId="5" fontId="0" fillId="0" borderId="0" xfId="0" applyNumberFormat="1" applyProtection="1"/>
    <xf numFmtId="5" fontId="2" fillId="5" borderId="38" xfId="2" applyNumberFormat="1" applyFill="1" applyBorder="1" applyProtection="1"/>
    <xf numFmtId="5" fontId="2" fillId="5" borderId="5" xfId="2" applyNumberFormat="1" applyFill="1" applyBorder="1" applyProtection="1"/>
    <xf numFmtId="5" fontId="2" fillId="5" borderId="21" xfId="2" applyNumberFormat="1" applyFill="1" applyBorder="1" applyProtection="1"/>
    <xf numFmtId="5" fontId="2" fillId="5" borderId="23" xfId="2" applyNumberFormat="1" applyFill="1" applyBorder="1" applyProtection="1"/>
    <xf numFmtId="5" fontId="2" fillId="5" borderId="27" xfId="2" applyNumberFormat="1" applyFill="1" applyBorder="1" applyProtection="1"/>
    <xf numFmtId="5" fontId="2" fillId="5" borderId="30" xfId="2" applyNumberFormat="1" applyFill="1" applyBorder="1" applyProtection="1"/>
    <xf numFmtId="5" fontId="2" fillId="5" borderId="32" xfId="2" applyNumberFormat="1" applyFill="1" applyBorder="1" applyProtection="1"/>
    <xf numFmtId="5" fontId="4" fillId="0" borderId="0" xfId="0" applyNumberFormat="1" applyFont="1"/>
    <xf numFmtId="5" fontId="2" fillId="0" borderId="33" xfId="1" applyNumberFormat="1" applyBorder="1" applyAlignment="1" applyProtection="1">
      <alignment horizontal="center" vertical="top" wrapText="1"/>
    </xf>
    <xf numFmtId="5" fontId="2" fillId="0" borderId="34" xfId="1" applyNumberFormat="1" applyBorder="1" applyAlignment="1" applyProtection="1">
      <alignment horizontal="center" vertical="top" wrapText="1"/>
    </xf>
    <xf numFmtId="5" fontId="4" fillId="0" borderId="0" xfId="0" applyNumberFormat="1" applyFont="1" applyFill="1"/>
    <xf numFmtId="37" fontId="2" fillId="5" borderId="29" xfId="2" applyNumberFormat="1" applyFill="1" applyBorder="1" applyProtection="1"/>
    <xf numFmtId="37" fontId="12" fillId="5" borderId="5" xfId="0" applyNumberFormat="1" applyFont="1" applyFill="1" applyBorder="1" applyAlignment="1" applyProtection="1">
      <alignment horizontal="left" indent="1"/>
      <protection locked="0"/>
    </xf>
    <xf numFmtId="37" fontId="12" fillId="5" borderId="5" xfId="0" applyNumberFormat="1" applyFont="1" applyFill="1" applyBorder="1" applyAlignment="1" applyProtection="1">
      <alignment horizontal="left"/>
      <protection locked="0"/>
    </xf>
    <xf numFmtId="37" fontId="20" fillId="9" borderId="40" xfId="7" applyNumberFormat="1" applyFont="1" applyBorder="1" applyAlignment="1" applyProtection="1">
      <alignment horizontal="centerContinuous"/>
    </xf>
    <xf numFmtId="37" fontId="20" fillId="9" borderId="41" xfId="7" applyNumberFormat="1" applyFont="1" applyBorder="1" applyAlignment="1" applyProtection="1">
      <alignment horizontal="centerContinuous"/>
    </xf>
    <xf numFmtId="37" fontId="20" fillId="9" borderId="3" xfId="7" applyNumberFormat="1" applyFont="1" applyBorder="1" applyAlignment="1" applyProtection="1">
      <alignment horizontal="centerContinuous"/>
    </xf>
    <xf numFmtId="37" fontId="20" fillId="9" borderId="4" xfId="7" applyNumberFormat="1" applyFont="1" applyBorder="1" applyAlignment="1" applyProtection="1">
      <alignment horizontal="centerContinuous"/>
    </xf>
    <xf numFmtId="37" fontId="4" fillId="2" borderId="42" xfId="3" applyNumberFormat="1" applyFont="1" applyBorder="1" applyAlignment="1" applyProtection="1">
      <alignment horizontal="center"/>
    </xf>
    <xf numFmtId="37" fontId="4" fillId="2" borderId="13" xfId="3" applyNumberFormat="1" applyFont="1" applyBorder="1" applyAlignment="1" applyProtection="1">
      <alignment horizontal="center"/>
    </xf>
    <xf numFmtId="37" fontId="4" fillId="2" borderId="43" xfId="3" applyNumberFormat="1" applyFont="1" applyBorder="1" applyAlignment="1" applyProtection="1">
      <alignment horizontal="center"/>
    </xf>
    <xf numFmtId="37" fontId="5" fillId="4" borderId="12" xfId="0" applyNumberFormat="1" applyFont="1" applyFill="1" applyBorder="1" applyProtection="1"/>
    <xf numFmtId="37" fontId="20" fillId="8" borderId="3" xfId="6" applyNumberFormat="1" applyFont="1" applyBorder="1" applyAlignment="1" applyProtection="1">
      <alignment horizontal="centerContinuous"/>
    </xf>
    <xf numFmtId="37" fontId="20" fillId="8" borderId="4" xfId="6" applyNumberFormat="1" applyFont="1" applyBorder="1" applyAlignment="1" applyProtection="1">
      <alignment horizontal="centerContinuous"/>
    </xf>
    <xf numFmtId="37" fontId="23" fillId="5" borderId="24" xfId="2" applyNumberFormat="1" applyFont="1" applyFill="1" applyBorder="1" applyProtection="1"/>
    <xf numFmtId="5" fontId="23" fillId="5" borderId="5" xfId="2" applyNumberFormat="1" applyFont="1" applyFill="1" applyBorder="1" applyProtection="1"/>
    <xf numFmtId="37" fontId="24" fillId="15" borderId="2" xfId="7" applyNumberFormat="1" applyFont="1" applyFill="1" applyBorder="1" applyAlignment="1" applyProtection="1">
      <alignment horizontal="centerContinuous"/>
    </xf>
    <xf numFmtId="37" fontId="24" fillId="15" borderId="3" xfId="7" applyNumberFormat="1" applyFont="1" applyFill="1" applyBorder="1" applyAlignment="1" applyProtection="1">
      <alignment horizontal="centerContinuous"/>
    </xf>
    <xf numFmtId="37" fontId="24" fillId="15" borderId="4" xfId="7" applyNumberFormat="1" applyFont="1" applyFill="1" applyBorder="1" applyAlignment="1" applyProtection="1">
      <alignment horizontal="centerContinuous"/>
    </xf>
    <xf numFmtId="37" fontId="4" fillId="12" borderId="0" xfId="0" applyNumberFormat="1" applyFont="1" applyFill="1"/>
    <xf numFmtId="37" fontId="4" fillId="4" borderId="0" xfId="0" applyNumberFormat="1" applyFont="1" applyFill="1"/>
    <xf numFmtId="37" fontId="20" fillId="10" borderId="44" xfId="3" applyNumberFormat="1" applyFont="1" applyFill="1" applyBorder="1" applyAlignment="1">
      <alignment horizontal="centerContinuous"/>
    </xf>
    <xf numFmtId="37" fontId="20" fillId="10" borderId="45" xfId="3" applyNumberFormat="1" applyFont="1" applyFill="1" applyBorder="1" applyAlignment="1">
      <alignment horizontal="centerContinuous"/>
    </xf>
    <xf numFmtId="37" fontId="20" fillId="10" borderId="5" xfId="0" applyNumberFormat="1" applyFont="1" applyFill="1" applyBorder="1" applyAlignment="1">
      <alignment horizontal="center"/>
    </xf>
    <xf numFmtId="37" fontId="4" fillId="0" borderId="5" xfId="0" applyNumberFormat="1" applyFont="1" applyBorder="1"/>
    <xf numFmtId="37" fontId="18" fillId="0" borderId="5" xfId="0" applyNumberFormat="1" applyFont="1" applyBorder="1"/>
    <xf numFmtId="37" fontId="19" fillId="0" borderId="5" xfId="0" applyNumberFormat="1" applyFont="1" applyBorder="1"/>
    <xf numFmtId="0" fontId="20" fillId="11" borderId="0" xfId="1" applyFont="1" applyFill="1" applyBorder="1" applyAlignment="1">
      <alignment horizontal="center" wrapText="1"/>
    </xf>
    <xf numFmtId="37" fontId="4" fillId="17" borderId="5" xfId="0" applyNumberFormat="1" applyFont="1" applyFill="1" applyBorder="1"/>
    <xf numFmtId="37" fontId="19" fillId="17" borderId="5" xfId="0" applyNumberFormat="1" applyFont="1" applyFill="1" applyBorder="1"/>
    <xf numFmtId="37" fontId="26" fillId="0" borderId="0" xfId="9" applyNumberFormat="1" applyFont="1"/>
    <xf numFmtId="37" fontId="11" fillId="4" borderId="10" xfId="2" applyNumberFormat="1" applyFont="1" applyFill="1" applyBorder="1"/>
    <xf numFmtId="37" fontId="10" fillId="4" borderId="10" xfId="2" applyNumberFormat="1" applyFont="1" applyFill="1" applyBorder="1"/>
    <xf numFmtId="37" fontId="15" fillId="4" borderId="10" xfId="2" applyNumberFormat="1" applyFont="1" applyFill="1" applyBorder="1"/>
    <xf numFmtId="0" fontId="4" fillId="5" borderId="5" xfId="0" applyFont="1" applyFill="1" applyBorder="1"/>
    <xf numFmtId="37" fontId="20" fillId="10" borderId="33" xfId="0" applyNumberFormat="1" applyFont="1" applyFill="1" applyBorder="1" applyAlignment="1">
      <alignment horizontal="center"/>
    </xf>
    <xf numFmtId="9" fontId="4" fillId="0" borderId="5" xfId="8" applyFont="1" applyBorder="1"/>
    <xf numFmtId="37" fontId="4" fillId="0" borderId="0" xfId="0" applyNumberFormat="1" applyFont="1" applyBorder="1"/>
    <xf numFmtId="37" fontId="27" fillId="0" borderId="0" xfId="0" applyNumberFormat="1" applyFont="1" applyBorder="1" applyAlignment="1">
      <alignment vertical="center"/>
    </xf>
    <xf numFmtId="37" fontId="20" fillId="10" borderId="46" xfId="0" applyNumberFormat="1" applyFont="1" applyFill="1" applyBorder="1" applyAlignment="1">
      <alignment horizontal="center"/>
    </xf>
    <xf numFmtId="37" fontId="4" fillId="0" borderId="5" xfId="0" applyNumberFormat="1" applyFont="1" applyBorder="1" applyAlignment="1">
      <alignment horizontal="center"/>
    </xf>
    <xf numFmtId="37" fontId="4" fillId="0" borderId="5" xfId="0" applyNumberFormat="1" applyFont="1" applyFill="1" applyBorder="1" applyAlignment="1">
      <alignment horizontal="center"/>
    </xf>
    <xf numFmtId="37" fontId="4" fillId="17" borderId="5" xfId="0" applyNumberFormat="1" applyFont="1" applyFill="1" applyBorder="1" applyAlignment="1">
      <alignment horizontal="center"/>
    </xf>
    <xf numFmtId="37" fontId="4" fillId="18" borderId="5" xfId="0" applyNumberFormat="1" applyFont="1" applyFill="1" applyBorder="1" applyAlignment="1">
      <alignment horizontal="center"/>
    </xf>
    <xf numFmtId="37" fontId="4" fillId="18" borderId="5" xfId="0" applyNumberFormat="1" applyFont="1" applyFill="1" applyBorder="1"/>
    <xf numFmtId="0" fontId="4" fillId="5" borderId="5" xfId="0" applyFont="1" applyFill="1" applyBorder="1" applyAlignment="1">
      <alignment horizontal="left"/>
    </xf>
    <xf numFmtId="37" fontId="20" fillId="10" borderId="18" xfId="3" quotePrefix="1" applyNumberFormat="1" applyFont="1" applyFill="1" applyBorder="1" applyAlignment="1">
      <alignment horizontal="centerContinuous"/>
    </xf>
    <xf numFmtId="37" fontId="20" fillId="10" borderId="16" xfId="3" quotePrefix="1" applyNumberFormat="1" applyFont="1" applyFill="1" applyBorder="1" applyAlignment="1">
      <alignment horizontal="centerContinuous"/>
    </xf>
    <xf numFmtId="0" fontId="0" fillId="7" borderId="0" xfId="0" applyFill="1"/>
    <xf numFmtId="165" fontId="2" fillId="7" borderId="40" xfId="2" applyNumberFormat="1" applyFill="1" applyBorder="1"/>
    <xf numFmtId="39" fontId="2" fillId="7" borderId="41" xfId="2" applyNumberFormat="1" applyFill="1" applyBorder="1"/>
    <xf numFmtId="39" fontId="2" fillId="7" borderId="48" xfId="2" applyNumberFormat="1" applyFill="1" applyBorder="1"/>
    <xf numFmtId="165" fontId="2" fillId="7" borderId="49" xfId="2" applyNumberFormat="1" applyFill="1" applyBorder="1"/>
    <xf numFmtId="39" fontId="2" fillId="7" borderId="0" xfId="2" applyNumberFormat="1" applyFill="1" applyBorder="1"/>
    <xf numFmtId="39" fontId="2" fillId="7" borderId="50" xfId="2" applyNumberFormat="1" applyFill="1" applyBorder="1"/>
    <xf numFmtId="39" fontId="2" fillId="7" borderId="51" xfId="2" applyNumberFormat="1" applyFill="1" applyBorder="1"/>
    <xf numFmtId="165" fontId="28" fillId="7" borderId="52" xfId="10" applyNumberFormat="1" applyFill="1" applyBorder="1"/>
    <xf numFmtId="165" fontId="28" fillId="7" borderId="47" xfId="10" applyNumberFormat="1" applyFill="1" applyBorder="1"/>
    <xf numFmtId="165" fontId="28" fillId="7" borderId="53" xfId="10" applyNumberFormat="1" applyFill="1" applyBorder="1"/>
    <xf numFmtId="165" fontId="2" fillId="7" borderId="49" xfId="1" applyNumberFormat="1" applyFill="1" applyBorder="1" applyAlignment="1">
      <alignment horizontal="center"/>
    </xf>
    <xf numFmtId="39" fontId="2" fillId="7" borderId="0" xfId="1" applyNumberFormat="1" applyFill="1" applyBorder="1"/>
    <xf numFmtId="165" fontId="2" fillId="7" borderId="0" xfId="1" applyNumberFormat="1" applyFill="1" applyBorder="1" applyAlignment="1">
      <alignment horizontal="center"/>
    </xf>
    <xf numFmtId="165" fontId="2" fillId="7" borderId="50" xfId="1" applyNumberFormat="1" applyFill="1" applyBorder="1" applyAlignment="1">
      <alignment horizontal="center"/>
    </xf>
    <xf numFmtId="165" fontId="2" fillId="0" borderId="54" xfId="2" applyNumberFormat="1" applyFill="1" applyBorder="1" applyProtection="1">
      <protection locked="0"/>
    </xf>
    <xf numFmtId="39" fontId="2" fillId="0" borderId="0" xfId="2" applyNumberFormat="1" applyFill="1" applyBorder="1" applyProtection="1">
      <protection locked="0"/>
    </xf>
    <xf numFmtId="165" fontId="2" fillId="0" borderId="5" xfId="2" applyNumberFormat="1" applyFill="1" applyBorder="1" applyProtection="1">
      <protection locked="0"/>
    </xf>
    <xf numFmtId="0" fontId="2" fillId="0" borderId="5" xfId="2" applyNumberFormat="1" applyFill="1" applyBorder="1" applyAlignment="1" applyProtection="1">
      <alignment horizontal="center"/>
      <protection locked="0"/>
    </xf>
    <xf numFmtId="165" fontId="2" fillId="0" borderId="49" xfId="2" applyNumberFormat="1" applyFill="1" applyBorder="1" applyProtection="1">
      <protection locked="0"/>
    </xf>
    <xf numFmtId="37" fontId="2" fillId="0" borderId="0" xfId="2" applyNumberFormat="1" applyFill="1" applyBorder="1" applyProtection="1">
      <protection locked="0"/>
    </xf>
    <xf numFmtId="165" fontId="2" fillId="7" borderId="49" xfId="2" applyNumberFormat="1" applyFill="1" applyBorder="1" applyProtection="1">
      <protection locked="0"/>
    </xf>
    <xf numFmtId="39" fontId="2" fillId="7" borderId="0" xfId="2" applyNumberFormat="1" applyFill="1" applyBorder="1" applyProtection="1">
      <protection locked="0"/>
    </xf>
    <xf numFmtId="165" fontId="2" fillId="7" borderId="0" xfId="2" applyNumberFormat="1" applyFill="1" applyBorder="1" applyProtection="1">
      <protection locked="0"/>
    </xf>
    <xf numFmtId="0" fontId="2" fillId="7" borderId="0" xfId="2" applyNumberFormat="1" applyFill="1" applyBorder="1" applyAlignment="1" applyProtection="1">
      <alignment horizontal="center"/>
      <protection locked="0"/>
    </xf>
    <xf numFmtId="39" fontId="2" fillId="7" borderId="50" xfId="2" applyNumberFormat="1" applyFill="1" applyBorder="1" applyProtection="1">
      <protection locked="0"/>
    </xf>
    <xf numFmtId="165" fontId="2" fillId="7" borderId="5" xfId="2" applyNumberFormat="1" applyFill="1" applyBorder="1" applyProtection="1">
      <protection locked="0"/>
    </xf>
    <xf numFmtId="0" fontId="2" fillId="7" borderId="5" xfId="2" applyNumberFormat="1" applyFill="1" applyBorder="1" applyAlignment="1" applyProtection="1">
      <alignment horizontal="center"/>
      <protection locked="0"/>
    </xf>
    <xf numFmtId="0" fontId="0" fillId="7" borderId="49" xfId="0" applyFill="1" applyBorder="1" applyProtection="1">
      <protection locked="0"/>
    </xf>
    <xf numFmtId="0" fontId="0" fillId="7" borderId="0" xfId="0" applyFill="1" applyBorder="1" applyProtection="1">
      <protection locked="0"/>
    </xf>
    <xf numFmtId="0" fontId="0" fillId="7" borderId="50" xfId="0" applyFill="1" applyBorder="1" applyProtection="1">
      <protection locked="0"/>
    </xf>
    <xf numFmtId="165" fontId="2" fillId="7" borderId="42" xfId="2" applyNumberFormat="1" applyFill="1" applyBorder="1"/>
    <xf numFmtId="39" fontId="2" fillId="7" borderId="13" xfId="2" applyNumberFormat="1" applyFill="1" applyBorder="1"/>
    <xf numFmtId="0" fontId="0" fillId="7" borderId="13" xfId="0" applyFill="1" applyBorder="1"/>
    <xf numFmtId="39" fontId="2" fillId="7" borderId="0" xfId="2" applyNumberFormat="1" applyFill="1"/>
    <xf numFmtId="37" fontId="2" fillId="7" borderId="0" xfId="2" applyNumberFormat="1" applyFill="1"/>
    <xf numFmtId="37" fontId="2" fillId="0" borderId="5" xfId="2" applyNumberFormat="1" applyFill="1" applyBorder="1" applyProtection="1">
      <protection locked="0"/>
    </xf>
    <xf numFmtId="37" fontId="2" fillId="0" borderId="55" xfId="2" applyNumberFormat="1" applyFill="1" applyBorder="1" applyProtection="1">
      <protection locked="0"/>
    </xf>
    <xf numFmtId="37" fontId="2" fillId="7" borderId="0" xfId="2" applyNumberFormat="1" applyFill="1" applyBorder="1"/>
    <xf numFmtId="37" fontId="2" fillId="7" borderId="51" xfId="2" applyNumberFormat="1" applyFill="1" applyBorder="1"/>
    <xf numFmtId="3" fontId="2" fillId="7" borderId="13" xfId="2" applyNumberFormat="1" applyFill="1" applyBorder="1"/>
    <xf numFmtId="3" fontId="0" fillId="7" borderId="13" xfId="0" applyNumberFormat="1" applyFill="1" applyBorder="1"/>
    <xf numFmtId="3" fontId="4" fillId="7" borderId="13" xfId="0" applyNumberFormat="1" applyFont="1" applyFill="1" applyBorder="1"/>
    <xf numFmtId="37" fontId="4" fillId="5" borderId="12" xfId="0" applyNumberFormat="1" applyFont="1" applyFill="1" applyBorder="1"/>
    <xf numFmtId="37" fontId="20" fillId="16" borderId="40" xfId="0" applyNumberFormat="1" applyFont="1" applyFill="1" applyBorder="1"/>
    <xf numFmtId="37" fontId="20" fillId="16" borderId="48" xfId="0" applyNumberFormat="1" applyFont="1" applyFill="1" applyBorder="1"/>
    <xf numFmtId="37" fontId="20" fillId="16" borderId="42" xfId="0" applyNumberFormat="1" applyFont="1" applyFill="1" applyBorder="1"/>
    <xf numFmtId="37" fontId="20" fillId="16" borderId="43" xfId="0" applyNumberFormat="1" applyFont="1" applyFill="1" applyBorder="1"/>
    <xf numFmtId="37" fontId="20" fillId="19" borderId="0" xfId="0" applyNumberFormat="1" applyFont="1" applyFill="1"/>
    <xf numFmtId="37" fontId="4" fillId="5" borderId="12" xfId="0" applyNumberFormat="1" applyFont="1" applyFill="1" applyBorder="1" applyAlignment="1">
      <alignment horizontal="left" indent="1"/>
    </xf>
    <xf numFmtId="37" fontId="2" fillId="18" borderId="5" xfId="2" applyNumberFormat="1" applyFill="1" applyBorder="1" applyProtection="1">
      <protection locked="0"/>
    </xf>
    <xf numFmtId="37" fontId="4" fillId="18" borderId="5" xfId="0" applyNumberFormat="1" applyFont="1" applyFill="1" applyBorder="1" applyProtection="1">
      <protection locked="0"/>
    </xf>
    <xf numFmtId="37" fontId="2" fillId="18" borderId="55" xfId="2" applyNumberFormat="1" applyFill="1" applyBorder="1" applyProtection="1">
      <protection locked="0"/>
    </xf>
    <xf numFmtId="37" fontId="4" fillId="17" borderId="5" xfId="0" applyNumberFormat="1" applyFont="1" applyFill="1" applyBorder="1" applyProtection="1">
      <protection locked="0"/>
    </xf>
    <xf numFmtId="164" fontId="12" fillId="17" borderId="5" xfId="0" applyNumberFormat="1" applyFont="1" applyFill="1" applyBorder="1" applyAlignment="1">
      <alignment horizontal="left"/>
    </xf>
    <xf numFmtId="37" fontId="12" fillId="17" borderId="5" xfId="0" applyNumberFormat="1" applyFont="1" applyFill="1" applyBorder="1" applyProtection="1">
      <protection locked="0"/>
    </xf>
    <xf numFmtId="37" fontId="12" fillId="17" borderId="5" xfId="0" applyNumberFormat="1" applyFont="1" applyFill="1" applyBorder="1" applyAlignment="1" applyProtection="1">
      <alignment horizontal="left" indent="1"/>
      <protection locked="0"/>
    </xf>
    <xf numFmtId="0" fontId="4" fillId="17" borderId="0" xfId="0" applyFont="1" applyFill="1"/>
    <xf numFmtId="165" fontId="2" fillId="0" borderId="0" xfId="2" applyNumberFormat="1" applyFill="1" applyBorder="1" applyProtection="1">
      <protection locked="0"/>
    </xf>
    <xf numFmtId="0" fontId="2" fillId="0" borderId="0" xfId="2" applyNumberFormat="1" applyFill="1" applyBorder="1" applyAlignment="1" applyProtection="1">
      <alignment horizontal="center"/>
      <protection locked="0"/>
    </xf>
    <xf numFmtId="39" fontId="2" fillId="0" borderId="50" xfId="2" applyNumberFormat="1" applyFill="1" applyBorder="1" applyProtection="1">
      <protection locked="0"/>
    </xf>
    <xf numFmtId="39" fontId="2" fillId="0" borderId="0" xfId="2" applyNumberFormat="1" applyFill="1" applyBorder="1"/>
    <xf numFmtId="37" fontId="4" fillId="6" borderId="5" xfId="0" applyNumberFormat="1" applyFont="1" applyFill="1" applyBorder="1" applyProtection="1">
      <protection locked="0"/>
    </xf>
    <xf numFmtId="37" fontId="4" fillId="15" borderId="5" xfId="0" applyNumberFormat="1" applyFont="1" applyFill="1" applyBorder="1" applyProtection="1">
      <protection locked="0"/>
    </xf>
    <xf numFmtId="165" fontId="2" fillId="7" borderId="54" xfId="2" applyNumberFormat="1" applyFill="1" applyBorder="1" applyProtection="1">
      <protection locked="0"/>
    </xf>
    <xf numFmtId="37" fontId="0" fillId="0" borderId="0" xfId="0" applyNumberFormat="1"/>
    <xf numFmtId="39" fontId="2" fillId="0" borderId="0" xfId="2" applyNumberFormat="1" applyFill="1" applyBorder="1" applyAlignment="1" applyProtection="1">
      <alignment horizontal="center"/>
      <protection locked="0"/>
    </xf>
    <xf numFmtId="37" fontId="2" fillId="21" borderId="55" xfId="2" applyNumberFormat="1" applyFill="1" applyBorder="1" applyProtection="1">
      <protection locked="0"/>
    </xf>
    <xf numFmtId="37" fontId="4" fillId="20" borderId="5" xfId="0" applyNumberFormat="1" applyFont="1" applyFill="1" applyBorder="1" applyProtection="1">
      <protection locked="0"/>
    </xf>
    <xf numFmtId="37" fontId="4" fillId="5" borderId="12" xfId="0" applyNumberFormat="1" applyFont="1" applyFill="1" applyBorder="1" applyAlignment="1" applyProtection="1">
      <alignment horizontal="left" indent="1"/>
      <protection locked="0"/>
    </xf>
    <xf numFmtId="37" fontId="4" fillId="5" borderId="12" xfId="0" applyNumberFormat="1" applyFont="1" applyFill="1" applyBorder="1" applyProtection="1">
      <protection locked="0"/>
    </xf>
    <xf numFmtId="37" fontId="4" fillId="5" borderId="5" xfId="0" applyNumberFormat="1" applyFont="1" applyFill="1" applyBorder="1" applyAlignment="1" applyProtection="1">
      <alignment horizontal="left" indent="1"/>
      <protection locked="0"/>
    </xf>
    <xf numFmtId="37" fontId="18" fillId="5" borderId="5" xfId="0" applyNumberFormat="1" applyFont="1" applyFill="1" applyBorder="1" applyProtection="1">
      <protection locked="0"/>
    </xf>
    <xf numFmtId="37" fontId="19" fillId="5" borderId="5" xfId="0" applyNumberFormat="1" applyFont="1" applyFill="1" applyBorder="1" applyProtection="1">
      <protection locked="0"/>
    </xf>
    <xf numFmtId="37" fontId="4" fillId="0" borderId="0" xfId="0" applyNumberFormat="1" applyFont="1" applyProtection="1">
      <protection locked="0"/>
    </xf>
    <xf numFmtId="37" fontId="20" fillId="19" borderId="0" xfId="0" applyNumberFormat="1" applyFont="1" applyFill="1" applyProtection="1">
      <protection locked="0"/>
    </xf>
    <xf numFmtId="37" fontId="8" fillId="4" borderId="0" xfId="2" applyNumberFormat="1" applyFont="1" applyFill="1" applyAlignment="1">
      <alignment horizontal="center"/>
    </xf>
    <xf numFmtId="37" fontId="8" fillId="4" borderId="13" xfId="2" applyNumberFormat="1" applyFont="1" applyFill="1" applyBorder="1" applyAlignment="1">
      <alignment horizontal="center"/>
    </xf>
    <xf numFmtId="0" fontId="20" fillId="11" borderId="0" xfId="1" applyFont="1" applyFill="1" applyBorder="1" applyAlignment="1">
      <alignment horizontal="center" wrapText="1"/>
    </xf>
    <xf numFmtId="0" fontId="20" fillId="11" borderId="11" xfId="1" applyFont="1" applyFill="1" applyBorder="1" applyAlignment="1">
      <alignment horizontal="center" wrapText="1"/>
    </xf>
    <xf numFmtId="37" fontId="4" fillId="7" borderId="2" xfId="0" applyNumberFormat="1" applyFont="1" applyFill="1" applyBorder="1" applyAlignment="1">
      <alignment horizontal="center"/>
    </xf>
    <xf numFmtId="37" fontId="4" fillId="7" borderId="3" xfId="0" applyNumberFormat="1" applyFont="1" applyFill="1" applyBorder="1" applyAlignment="1">
      <alignment horizontal="center"/>
    </xf>
    <xf numFmtId="37" fontId="4" fillId="7" borderId="4" xfId="0" applyNumberFormat="1" applyFont="1" applyFill="1" applyBorder="1" applyAlignment="1">
      <alignment horizontal="center"/>
    </xf>
    <xf numFmtId="37" fontId="4" fillId="13" borderId="2" xfId="1" applyNumberFormat="1" applyFont="1" applyFill="1" applyBorder="1" applyAlignment="1" applyProtection="1">
      <alignment horizontal="center" vertical="top" wrapText="1"/>
    </xf>
    <xf numFmtId="37" fontId="4" fillId="13" borderId="3" xfId="1" applyNumberFormat="1" applyFont="1" applyFill="1" applyBorder="1" applyAlignment="1" applyProtection="1">
      <alignment horizontal="center" vertical="top" wrapText="1"/>
    </xf>
    <xf numFmtId="37" fontId="4" fillId="13" borderId="4" xfId="1" applyNumberFormat="1" applyFont="1" applyFill="1" applyBorder="1" applyAlignment="1" applyProtection="1">
      <alignment horizontal="center" vertical="top" wrapText="1"/>
    </xf>
    <xf numFmtId="37" fontId="2" fillId="14" borderId="2" xfId="1" applyNumberFormat="1" applyFill="1" applyBorder="1" applyAlignment="1" applyProtection="1">
      <alignment horizontal="center" vertical="top" wrapText="1"/>
    </xf>
    <xf numFmtId="37" fontId="2" fillId="14" borderId="3" xfId="1" applyNumberFormat="1" applyFill="1" applyBorder="1" applyAlignment="1" applyProtection="1">
      <alignment horizontal="center" vertical="top" wrapText="1"/>
    </xf>
    <xf numFmtId="37" fontId="2" fillId="14" borderId="4" xfId="1" applyNumberFormat="1" applyFill="1" applyBorder="1" applyAlignment="1" applyProtection="1">
      <alignment horizontal="center" vertical="top" wrapText="1"/>
    </xf>
    <xf numFmtId="37" fontId="2" fillId="15" borderId="2" xfId="1" applyNumberFormat="1" applyFill="1" applyBorder="1" applyAlignment="1" applyProtection="1">
      <alignment horizontal="center" vertical="top" wrapText="1"/>
    </xf>
    <xf numFmtId="37" fontId="2" fillId="15" borderId="3" xfId="1" applyNumberFormat="1" applyFill="1" applyBorder="1" applyAlignment="1" applyProtection="1">
      <alignment horizontal="center" vertical="top" wrapText="1"/>
    </xf>
    <xf numFmtId="37" fontId="2" fillId="15" borderId="4" xfId="1" applyNumberFormat="1" applyFill="1" applyBorder="1" applyAlignment="1" applyProtection="1">
      <alignment horizontal="center" vertical="top" wrapText="1"/>
    </xf>
    <xf numFmtId="5" fontId="4" fillId="13" borderId="2" xfId="1" applyNumberFormat="1" applyFont="1" applyFill="1" applyBorder="1" applyAlignment="1" applyProtection="1">
      <alignment horizontal="center" vertical="top" wrapText="1"/>
    </xf>
    <xf numFmtId="5" fontId="4" fillId="13" borderId="3" xfId="1" applyNumberFormat="1" applyFont="1" applyFill="1" applyBorder="1" applyAlignment="1" applyProtection="1">
      <alignment horizontal="center" vertical="top" wrapText="1"/>
    </xf>
    <xf numFmtId="5" fontId="4" fillId="13" borderId="4" xfId="1" applyNumberFormat="1" applyFont="1" applyFill="1" applyBorder="1" applyAlignment="1" applyProtection="1">
      <alignment horizontal="center" vertical="top" wrapText="1"/>
    </xf>
    <xf numFmtId="5" fontId="2" fillId="14" borderId="2" xfId="1" applyNumberFormat="1" applyFill="1" applyBorder="1" applyAlignment="1" applyProtection="1">
      <alignment horizontal="center" vertical="top" wrapText="1"/>
    </xf>
    <xf numFmtId="5" fontId="2" fillId="14" borderId="3" xfId="1" applyNumberFormat="1" applyFill="1" applyBorder="1" applyAlignment="1" applyProtection="1">
      <alignment horizontal="center" vertical="top" wrapText="1"/>
    </xf>
    <xf numFmtId="5" fontId="2" fillId="14" borderId="4" xfId="1" applyNumberFormat="1" applyFill="1" applyBorder="1" applyAlignment="1" applyProtection="1">
      <alignment horizontal="center" vertical="top" wrapText="1"/>
    </xf>
    <xf numFmtId="5" fontId="2" fillId="15" borderId="2" xfId="1" applyNumberFormat="1" applyFill="1" applyBorder="1" applyAlignment="1" applyProtection="1">
      <alignment horizontal="center" vertical="top" wrapText="1"/>
    </xf>
    <xf numFmtId="5" fontId="2" fillId="15" borderId="3" xfId="1" applyNumberFormat="1" applyFill="1" applyBorder="1" applyAlignment="1" applyProtection="1">
      <alignment horizontal="center" vertical="top" wrapText="1"/>
    </xf>
    <xf numFmtId="5" fontId="2" fillId="15" borderId="4" xfId="1" applyNumberFormat="1" applyFill="1" applyBorder="1" applyAlignment="1" applyProtection="1">
      <alignment horizontal="center" vertical="top" wrapText="1"/>
    </xf>
    <xf numFmtId="37" fontId="9" fillId="5" borderId="5" xfId="0" applyNumberFormat="1" applyFont="1" applyFill="1" applyBorder="1" applyProtection="1">
      <protection locked="0"/>
    </xf>
  </cellXfs>
  <cellStyles count="11">
    <cellStyle name="20% - Accent1" xfId="3" builtinId="30"/>
    <cellStyle name="40% - Accent2" xfId="4" builtinId="35"/>
    <cellStyle name="Accent2" xfId="6" builtinId="33"/>
    <cellStyle name="Accent6" xfId="7" builtinId="49"/>
    <cellStyle name="Heading 2" xfId="10" builtinId="17"/>
    <cellStyle name="Heading 3" xfId="1" builtinId="18"/>
    <cellStyle name="Heading 4" xfId="2" builtinId="19"/>
    <cellStyle name="Normal" xfId="0" builtinId="0"/>
    <cellStyle name="Percent" xfId="8" builtinId="5"/>
    <cellStyle name="Title" xfId="9" builtinId="15"/>
    <cellStyle name="Total" xfId="5" builtinId="25"/>
  </cellStyles>
  <dxfs count="21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CCFFCC"/>
      <color rgb="FFCCFFFF"/>
      <color rgb="FFFF7C80"/>
      <color rgb="FFFF9933"/>
      <color rgb="FFFF6600"/>
      <color rgb="FFFF9999"/>
      <color rgb="FFFFCC99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B\USB%202\Classes\Current%20Classes\General%20Accounting%20Principles%20Class\Problems\Comp%20Problem%20Service%20Co%20Sub%20Ledge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rections"/>
      <sheetName val="Beg Bal"/>
      <sheetName val="Journal Entries"/>
      <sheetName val="Adusting Entries"/>
      <sheetName val="Financial Statements"/>
      <sheetName val="Closing Enries"/>
    </sheetNames>
    <sheetDataSet>
      <sheetData sheetId="0"/>
      <sheetData sheetId="1">
        <row r="18">
          <cell r="B18">
            <v>0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DO95"/>
  <sheetViews>
    <sheetView topLeftCell="U1" zoomScale="120" zoomScaleNormal="120" workbookViewId="0">
      <selection activeCell="W14" sqref="W14"/>
    </sheetView>
  </sheetViews>
  <sheetFormatPr defaultRowHeight="15" x14ac:dyDescent="0.25"/>
  <cols>
    <col min="1" max="1" width="6.7109375" style="14" hidden="1" customWidth="1"/>
    <col min="2" max="2" width="25.5703125" style="17" hidden="1" customWidth="1"/>
    <col min="3" max="4" width="9.28515625" style="17" hidden="1" customWidth="1"/>
    <col min="5" max="5" width="1.140625" style="16" hidden="1" customWidth="1"/>
    <col min="6" max="6" width="5.42578125" style="14" hidden="1" customWidth="1"/>
    <col min="7" max="7" width="25.28515625" style="17" hidden="1" customWidth="1"/>
    <col min="8" max="9" width="8.5703125" style="17" hidden="1" customWidth="1"/>
    <col min="10" max="10" width="1.140625" style="16" hidden="1" customWidth="1"/>
    <col min="11" max="11" width="5.42578125" style="14" hidden="1" customWidth="1"/>
    <col min="12" max="12" width="25.28515625" style="17" hidden="1" customWidth="1"/>
    <col min="13" max="14" width="9" style="17" hidden="1" customWidth="1"/>
    <col min="15" max="15" width="1.140625" style="16" hidden="1" customWidth="1"/>
    <col min="16" max="16" width="5.42578125" style="14" hidden="1" customWidth="1"/>
    <col min="17" max="17" width="25.28515625" style="17" hidden="1" customWidth="1"/>
    <col min="18" max="19" width="9.28515625" style="17" hidden="1" customWidth="1"/>
    <col min="20" max="20" width="1.140625" style="16" hidden="1" customWidth="1"/>
    <col min="21" max="21" width="5.42578125" style="14" customWidth="1"/>
    <col min="22" max="22" width="25.28515625" style="17" customWidth="1"/>
    <col min="23" max="24" width="8" style="17" customWidth="1"/>
    <col min="25" max="25" width="1.140625" style="16" customWidth="1"/>
    <col min="26" max="26" width="5.42578125" style="14" hidden="1" customWidth="1"/>
    <col min="27" max="27" width="25.28515625" style="17" hidden="1" customWidth="1"/>
    <col min="28" max="29" width="8" style="17" hidden="1" customWidth="1"/>
    <col min="30" max="30" width="1.140625" style="16" hidden="1" customWidth="1"/>
    <col min="31" max="31" width="5.42578125" style="14" hidden="1" customWidth="1"/>
    <col min="32" max="32" width="25.28515625" style="17" hidden="1" customWidth="1"/>
    <col min="33" max="34" width="8" style="17" hidden="1" customWidth="1"/>
    <col min="35" max="35" width="1.140625" style="16" hidden="1" customWidth="1"/>
    <col min="36" max="36" width="26.5703125" style="17" customWidth="1"/>
    <col min="37" max="37" width="12.85546875" style="17" customWidth="1"/>
    <col min="38" max="38" width="1.42578125" style="17" customWidth="1"/>
    <col min="39" max="40" width="9.42578125" style="17" customWidth="1"/>
    <col min="41" max="41" width="10.7109375" style="17" customWidth="1"/>
    <col min="42" max="42" width="1.42578125" style="17" customWidth="1"/>
    <col min="43" max="43" width="8.85546875" style="17" customWidth="1"/>
    <col min="44" max="44" width="7.7109375" style="17" customWidth="1"/>
    <col min="45" max="45" width="11" style="17" customWidth="1"/>
    <col min="46" max="46" width="1.42578125" style="17" customWidth="1"/>
    <col min="47" max="47" width="7.7109375" style="17" customWidth="1"/>
    <col min="48" max="48" width="9" style="17" customWidth="1"/>
    <col min="49" max="49" width="10.140625" style="17" customWidth="1"/>
    <col min="50" max="50" width="1.42578125" style="26" customWidth="1"/>
    <col min="51" max="51" width="8.7109375" style="26" customWidth="1"/>
    <col min="52" max="52" width="9.5703125" style="26" customWidth="1"/>
    <col min="53" max="53" width="10.42578125" style="26" customWidth="1"/>
    <col min="54" max="54" width="1.42578125" style="26" customWidth="1"/>
    <col min="55" max="56" width="8.7109375" style="26" customWidth="1"/>
    <col min="57" max="57" width="10.42578125" style="26" customWidth="1"/>
    <col min="58" max="58" width="1.42578125" style="26" customWidth="1"/>
    <col min="59" max="59" width="8.7109375" style="26" customWidth="1"/>
    <col min="60" max="60" width="10.28515625" style="26" customWidth="1"/>
    <col min="61" max="61" width="10.42578125" style="26" customWidth="1"/>
    <col min="62" max="62" width="1.42578125" style="26" customWidth="1"/>
    <col min="63" max="63" width="8.7109375" style="26" customWidth="1"/>
    <col min="64" max="64" width="7.7109375" style="26" customWidth="1"/>
    <col min="65" max="65" width="10.42578125" style="26" customWidth="1"/>
    <col min="66" max="66" width="1.42578125" style="26" customWidth="1"/>
    <col min="67" max="67" width="8.7109375" style="26" customWidth="1"/>
    <col min="68" max="68" width="7.7109375" style="26" customWidth="1"/>
    <col min="69" max="69" width="10.42578125" style="26" customWidth="1"/>
    <col min="70" max="70" width="1.42578125" style="26" customWidth="1"/>
    <col min="71" max="71" width="8.7109375" style="26" customWidth="1"/>
    <col min="72" max="72" width="7.7109375" style="26" customWidth="1"/>
    <col min="73" max="73" width="10.42578125" style="26" customWidth="1"/>
    <col min="74" max="74" width="1.42578125" style="26" customWidth="1"/>
    <col min="75" max="75" width="29.85546875" style="17" customWidth="1"/>
    <col min="76" max="76" width="9.140625" style="17" customWidth="1"/>
    <col min="77" max="77" width="10" style="17" customWidth="1"/>
    <col min="78" max="78" width="9.140625" style="17" customWidth="1"/>
    <col min="79" max="79" width="23.7109375" style="17" customWidth="1"/>
    <col min="80" max="80" width="9.140625" style="17" customWidth="1"/>
    <col min="81" max="81" width="10.140625" style="17" customWidth="1"/>
    <col min="82" max="82" width="9.140625" style="17" customWidth="1"/>
    <col min="83" max="83" width="13.5703125" style="17" customWidth="1"/>
    <col min="84" max="85" width="9.140625" style="17"/>
    <col min="86" max="86" width="9.140625" style="16"/>
    <col min="87" max="87" width="1.28515625" style="16" customWidth="1"/>
    <col min="88" max="89" width="9.140625" style="17"/>
    <col min="90" max="90" width="9.140625" style="16"/>
    <col min="91" max="91" width="1.28515625" style="16" customWidth="1"/>
    <col min="92" max="92" width="9.140625" style="17"/>
    <col min="93" max="93" width="9.140625" style="111"/>
    <col min="94" max="94" width="9.140625" style="16"/>
    <col min="95" max="95" width="3.140625" style="16" customWidth="1"/>
    <col min="96" max="98" width="9.140625" style="16"/>
    <col min="99" max="99" width="3.7109375" style="16" customWidth="1"/>
    <col min="100" max="102" width="9.140625" style="16"/>
    <col min="103" max="103" width="3" style="16" customWidth="1"/>
    <col min="104" max="106" width="9.140625" style="16"/>
    <col min="107" max="107" width="2.7109375" style="16" customWidth="1"/>
    <col min="108" max="110" width="9.140625" style="16"/>
    <col min="111" max="111" width="4.140625" style="16" customWidth="1"/>
    <col min="112" max="112" width="17.42578125" style="17" customWidth="1"/>
    <col min="113" max="117" width="9.140625" style="17"/>
    <col min="118" max="16384" width="9.140625" style="16"/>
  </cols>
  <sheetData>
    <row r="1" spans="1:119" ht="35.65" customHeight="1" thickBot="1" x14ac:dyDescent="0.35">
      <c r="AJ1" s="5" t="s">
        <v>10</v>
      </c>
      <c r="AK1" s="6" t="s">
        <v>11</v>
      </c>
      <c r="AL1" s="238" t="s">
        <v>12</v>
      </c>
      <c r="AM1" s="238"/>
      <c r="AN1" s="6" t="s">
        <v>13</v>
      </c>
      <c r="AO1" s="69" t="s">
        <v>14</v>
      </c>
      <c r="AQ1" s="16"/>
      <c r="AR1" s="16"/>
      <c r="AS1" s="16"/>
      <c r="AU1" s="16"/>
      <c r="AV1" s="16"/>
      <c r="AW1" s="16"/>
      <c r="AY1" s="25"/>
      <c r="AZ1" s="25"/>
      <c r="BA1" s="25"/>
      <c r="BC1" s="25"/>
      <c r="BD1" s="25"/>
      <c r="BE1" s="25"/>
      <c r="BG1" s="25"/>
      <c r="BH1" s="25"/>
      <c r="BI1" s="25"/>
      <c r="BK1" s="25"/>
      <c r="BL1" s="25"/>
      <c r="BM1" s="25"/>
      <c r="BO1" s="25"/>
      <c r="BP1" s="25"/>
      <c r="BQ1" s="25"/>
      <c r="BS1" s="25"/>
      <c r="BT1" s="25"/>
      <c r="BU1" s="25"/>
      <c r="BW1" s="80" t="s">
        <v>19</v>
      </c>
      <c r="BX1" s="80"/>
      <c r="BY1" s="80"/>
      <c r="BZ1" s="80"/>
      <c r="CA1" s="80"/>
      <c r="CB1" s="80"/>
      <c r="CC1" s="80"/>
    </row>
    <row r="2" spans="1:119" ht="15" customHeight="1" thickBot="1" x14ac:dyDescent="0.3">
      <c r="AJ2" s="5">
        <f>SUM(AK5:AK12)</f>
        <v>218801.77000000002</v>
      </c>
      <c r="AK2" s="6" t="s">
        <v>11</v>
      </c>
      <c r="AL2" s="239">
        <f>-SUM(AK13:AK20)</f>
        <v>74721.37</v>
      </c>
      <c r="AM2" s="239"/>
      <c r="AN2" s="6" t="s">
        <v>13</v>
      </c>
      <c r="AO2" s="69">
        <f>-SUM(AK21:AK37)</f>
        <v>144080.4</v>
      </c>
      <c r="AQ2" s="16"/>
      <c r="AR2" s="16"/>
      <c r="AS2" s="16"/>
      <c r="AU2" s="16"/>
      <c r="AV2" s="16"/>
      <c r="AW2" s="16"/>
      <c r="AY2" s="25"/>
      <c r="AZ2" s="25"/>
      <c r="BA2" s="25"/>
      <c r="BC2" s="25"/>
      <c r="BD2" s="25"/>
      <c r="BE2" s="25"/>
      <c r="BG2" s="25"/>
      <c r="BH2" s="25"/>
      <c r="BI2" s="25"/>
      <c r="BK2" s="25"/>
      <c r="BL2" s="25"/>
      <c r="BM2" s="25"/>
      <c r="BO2" s="25"/>
      <c r="BP2" s="25"/>
      <c r="BQ2" s="25"/>
      <c r="BS2" s="25"/>
      <c r="BT2" s="25"/>
      <c r="BU2" s="25"/>
      <c r="BW2" s="12" t="s">
        <v>10</v>
      </c>
      <c r="BX2" s="12"/>
      <c r="BY2" s="12"/>
      <c r="BZ2" s="12"/>
      <c r="CA2" s="12" t="s">
        <v>12</v>
      </c>
      <c r="CB2" s="12"/>
      <c r="CC2" s="12"/>
      <c r="CE2" s="100" t="s">
        <v>88</v>
      </c>
      <c r="CF2" s="245" t="s">
        <v>81</v>
      </c>
      <c r="CG2" s="246"/>
      <c r="CH2" s="247"/>
      <c r="CI2" s="81"/>
      <c r="CJ2" s="248" t="s">
        <v>82</v>
      </c>
      <c r="CK2" s="249"/>
      <c r="CL2" s="250"/>
      <c r="CM2" s="81"/>
      <c r="CN2" s="251" t="s">
        <v>83</v>
      </c>
      <c r="CO2" s="252"/>
      <c r="CP2" s="253"/>
      <c r="CR2" s="118" t="s">
        <v>33</v>
      </c>
      <c r="CS2" s="119"/>
      <c r="CT2" s="119"/>
      <c r="CU2" s="120"/>
      <c r="CV2" s="120"/>
      <c r="CW2" s="120"/>
      <c r="CX2" s="121"/>
      <c r="CZ2" s="38" t="s">
        <v>98</v>
      </c>
      <c r="DA2" s="38"/>
      <c r="DB2" s="38"/>
      <c r="DC2" s="38"/>
      <c r="DD2" s="38"/>
      <c r="DE2" s="38"/>
      <c r="DF2" s="39"/>
      <c r="DH2" s="48" t="s">
        <v>108</v>
      </c>
      <c r="DI2" s="49"/>
      <c r="DJ2" s="50" t="s">
        <v>109</v>
      </c>
      <c r="DK2" s="48" t="s">
        <v>110</v>
      </c>
      <c r="DL2" s="49"/>
      <c r="DM2" s="50"/>
    </row>
    <row r="3" spans="1:119" ht="15.75" thickBot="1" x14ac:dyDescent="0.3">
      <c r="A3" s="42" t="s">
        <v>37</v>
      </c>
      <c r="B3" s="43"/>
      <c r="C3" s="43"/>
      <c r="D3" s="43"/>
      <c r="F3" s="42" t="s">
        <v>37</v>
      </c>
      <c r="G3" s="43"/>
      <c r="H3" s="43"/>
      <c r="I3" s="43"/>
      <c r="K3" s="42" t="s">
        <v>37</v>
      </c>
      <c r="L3" s="43"/>
      <c r="M3" s="43"/>
      <c r="N3" s="43"/>
      <c r="P3" s="42" t="s">
        <v>37</v>
      </c>
      <c r="Q3" s="43"/>
      <c r="R3" s="43"/>
      <c r="S3" s="43"/>
      <c r="U3" s="42" t="s">
        <v>37</v>
      </c>
      <c r="V3" s="43"/>
      <c r="W3" s="43"/>
      <c r="X3" s="43"/>
      <c r="Z3" s="42" t="s">
        <v>37</v>
      </c>
      <c r="AA3" s="43"/>
      <c r="AB3" s="43"/>
      <c r="AC3" s="43"/>
      <c r="AE3" s="42" t="s">
        <v>37</v>
      </c>
      <c r="AF3" s="43"/>
      <c r="AG3" s="43"/>
      <c r="AH3" s="43"/>
      <c r="AJ3" s="70"/>
      <c r="AK3" s="240" t="s">
        <v>30</v>
      </c>
      <c r="AL3" s="242">
        <f>AL2+AO2</f>
        <v>218801.77</v>
      </c>
      <c r="AM3" s="243"/>
      <c r="AN3" s="243"/>
      <c r="AO3" s="244"/>
      <c r="AQ3" s="16"/>
      <c r="AR3" s="16"/>
      <c r="AS3" s="16"/>
      <c r="AU3" s="16"/>
      <c r="AV3" s="16"/>
      <c r="AW3" s="16"/>
      <c r="AY3" s="25"/>
      <c r="AZ3" s="25"/>
      <c r="BA3" s="25"/>
      <c r="BC3" s="25"/>
      <c r="BD3" s="25"/>
      <c r="BE3" s="25"/>
      <c r="BG3" s="25"/>
      <c r="BH3" s="25"/>
      <c r="BI3" s="25"/>
      <c r="BK3" s="25"/>
      <c r="BL3" s="25"/>
      <c r="BM3" s="25"/>
      <c r="BO3" s="25"/>
      <c r="BP3" s="25"/>
      <c r="BQ3" s="25"/>
      <c r="BS3" s="25"/>
      <c r="BT3" s="25"/>
      <c r="BU3" s="25"/>
      <c r="BW3" s="12" t="s">
        <v>20</v>
      </c>
      <c r="BX3" s="12"/>
      <c r="BY3" s="12"/>
      <c r="BZ3" s="12"/>
      <c r="CA3" s="12" t="s">
        <v>65</v>
      </c>
      <c r="CB3" s="12"/>
      <c r="CC3" s="12"/>
      <c r="CE3" s="92"/>
      <c r="CF3" s="95"/>
      <c r="CG3" s="95" t="s">
        <v>84</v>
      </c>
      <c r="CH3" s="95" t="s">
        <v>85</v>
      </c>
      <c r="CI3" s="81"/>
      <c r="CJ3" s="95"/>
      <c r="CK3" s="95" t="s">
        <v>84</v>
      </c>
      <c r="CL3" s="95" t="s">
        <v>85</v>
      </c>
      <c r="CM3" s="81"/>
      <c r="CN3" s="95"/>
      <c r="CO3" s="112" t="s">
        <v>84</v>
      </c>
      <c r="CP3" s="95" t="s">
        <v>85</v>
      </c>
      <c r="CR3" s="37" t="s">
        <v>95</v>
      </c>
      <c r="CS3" s="120"/>
      <c r="CT3" s="121"/>
      <c r="CU3" s="27"/>
      <c r="CV3" s="37" t="s">
        <v>96</v>
      </c>
      <c r="CW3" s="120"/>
      <c r="CX3" s="121"/>
      <c r="CZ3" s="17" t="s">
        <v>99</v>
      </c>
      <c r="DA3" s="17"/>
      <c r="DB3" s="17"/>
      <c r="DD3" s="17"/>
      <c r="DE3" s="17">
        <f>+DB9+DB15+DF8</f>
        <v>0</v>
      </c>
      <c r="DF3" s="17"/>
      <c r="DI3" s="135" t="s">
        <v>121</v>
      </c>
      <c r="DJ3" s="136"/>
      <c r="DK3" s="135"/>
      <c r="DL3" s="136"/>
      <c r="DM3" s="135"/>
      <c r="DN3" s="135" t="s">
        <v>122</v>
      </c>
      <c r="DO3" s="136"/>
    </row>
    <row r="4" spans="1:119" ht="21.75" thickBot="1" x14ac:dyDescent="0.4">
      <c r="A4" s="44" t="s">
        <v>27</v>
      </c>
      <c r="B4" s="44" t="s">
        <v>5</v>
      </c>
      <c r="C4" s="44" t="s">
        <v>6</v>
      </c>
      <c r="D4" s="44" t="s">
        <v>17</v>
      </c>
      <c r="F4" s="44" t="s">
        <v>27</v>
      </c>
      <c r="G4" s="44" t="s">
        <v>5</v>
      </c>
      <c r="H4" s="44" t="s">
        <v>6</v>
      </c>
      <c r="I4" s="44" t="s">
        <v>17</v>
      </c>
      <c r="K4" s="44" t="s">
        <v>27</v>
      </c>
      <c r="L4" s="44" t="s">
        <v>5</v>
      </c>
      <c r="M4" s="44" t="s">
        <v>6</v>
      </c>
      <c r="N4" s="44" t="s">
        <v>17</v>
      </c>
      <c r="P4" s="44" t="s">
        <v>27</v>
      </c>
      <c r="Q4" s="44" t="s">
        <v>5</v>
      </c>
      <c r="R4" s="44" t="s">
        <v>6</v>
      </c>
      <c r="S4" s="44" t="s">
        <v>17</v>
      </c>
      <c r="U4" s="44" t="s">
        <v>27</v>
      </c>
      <c r="V4" s="44" t="s">
        <v>5</v>
      </c>
      <c r="W4" s="44" t="s">
        <v>6</v>
      </c>
      <c r="X4" s="44" t="s">
        <v>17</v>
      </c>
      <c r="Z4" s="44" t="s">
        <v>27</v>
      </c>
      <c r="AA4" s="44" t="s">
        <v>5</v>
      </c>
      <c r="AB4" s="44" t="s">
        <v>6</v>
      </c>
      <c r="AC4" s="44" t="s">
        <v>17</v>
      </c>
      <c r="AE4" s="44" t="s">
        <v>27</v>
      </c>
      <c r="AF4" s="44" t="s">
        <v>5</v>
      </c>
      <c r="AG4" s="44" t="s">
        <v>6</v>
      </c>
      <c r="AH4" s="44" t="s">
        <v>17</v>
      </c>
      <c r="AI4" s="19"/>
      <c r="AJ4" s="68" t="s">
        <v>5</v>
      </c>
      <c r="AK4" s="241"/>
      <c r="AM4" s="45" t="s">
        <v>60</v>
      </c>
      <c r="AN4" s="45"/>
      <c r="AO4" s="45"/>
      <c r="AP4" s="45"/>
      <c r="AQ4" s="45"/>
      <c r="AR4" s="45"/>
      <c r="AS4" s="45"/>
      <c r="AT4" s="45"/>
      <c r="AU4" s="45"/>
      <c r="AV4" s="45"/>
      <c r="AW4" s="45"/>
      <c r="AX4" s="45"/>
      <c r="AY4" s="45"/>
      <c r="AZ4" s="45"/>
      <c r="BA4" s="63"/>
      <c r="BB4" s="45"/>
      <c r="BC4" s="45"/>
      <c r="BD4" s="45"/>
      <c r="BE4" s="45"/>
      <c r="BF4" s="45"/>
      <c r="BG4" s="45"/>
      <c r="BH4" s="45"/>
      <c r="BI4" s="45"/>
      <c r="BJ4" s="45"/>
      <c r="BK4" s="45"/>
      <c r="BL4" s="45"/>
      <c r="BM4" s="45"/>
      <c r="BN4" s="45"/>
      <c r="BO4" s="45"/>
      <c r="BP4" s="63"/>
      <c r="BQ4" s="45"/>
      <c r="BR4" s="45"/>
      <c r="BS4" s="45"/>
      <c r="BT4" s="45"/>
      <c r="BU4" s="45"/>
      <c r="BW4" s="29" t="s">
        <v>0</v>
      </c>
      <c r="BX4" s="12">
        <f t="shared" ref="BX4:BX9" si="0">+AK5</f>
        <v>94342</v>
      </c>
      <c r="BY4" s="12"/>
      <c r="BZ4" s="12"/>
      <c r="CA4" s="29" t="s">
        <v>2</v>
      </c>
      <c r="CB4" s="12">
        <f t="shared" ref="CB4:CB10" si="1">-AK13</f>
        <v>0</v>
      </c>
      <c r="CC4" s="12"/>
      <c r="CE4" s="93" t="s">
        <v>27</v>
      </c>
      <c r="CF4" s="96" t="s">
        <v>86</v>
      </c>
      <c r="CG4" s="96" t="s">
        <v>87</v>
      </c>
      <c r="CH4" s="96" t="s">
        <v>87</v>
      </c>
      <c r="CI4" s="81"/>
      <c r="CJ4" s="96" t="s">
        <v>86</v>
      </c>
      <c r="CK4" s="96" t="s">
        <v>87</v>
      </c>
      <c r="CL4" s="96" t="s">
        <v>87</v>
      </c>
      <c r="CM4" s="81"/>
      <c r="CN4" s="96" t="s">
        <v>86</v>
      </c>
      <c r="CO4" s="113" t="s">
        <v>87</v>
      </c>
      <c r="CP4" s="96" t="s">
        <v>87</v>
      </c>
      <c r="CR4" s="122" t="s">
        <v>6</v>
      </c>
      <c r="CS4" s="123" t="s">
        <v>7</v>
      </c>
      <c r="CT4" s="124" t="s">
        <v>4</v>
      </c>
      <c r="CU4" s="27"/>
      <c r="CV4" s="122" t="s">
        <v>6</v>
      </c>
      <c r="CW4" s="123" t="s">
        <v>7</v>
      </c>
      <c r="CX4" s="124" t="s">
        <v>4</v>
      </c>
      <c r="CZ4" s="38" t="s">
        <v>100</v>
      </c>
      <c r="DA4" s="126"/>
      <c r="DB4" s="127"/>
      <c r="DD4" s="38"/>
      <c r="DE4" s="126"/>
      <c r="DF4" s="127"/>
      <c r="DH4" s="137" t="s">
        <v>111</v>
      </c>
      <c r="DI4" s="137" t="s">
        <v>85</v>
      </c>
      <c r="DJ4" s="137" t="s">
        <v>114</v>
      </c>
      <c r="DK4" s="137"/>
      <c r="DL4" s="137" t="s">
        <v>117</v>
      </c>
      <c r="DM4" s="137" t="s">
        <v>119</v>
      </c>
      <c r="DN4" s="137" t="s">
        <v>114</v>
      </c>
      <c r="DO4" s="137"/>
    </row>
    <row r="5" spans="1:119" ht="16.5" thickBot="1" x14ac:dyDescent="0.3">
      <c r="A5" s="64">
        <v>42736</v>
      </c>
      <c r="B5" s="4" t="s">
        <v>40</v>
      </c>
      <c r="C5" s="4">
        <v>2897</v>
      </c>
      <c r="D5" s="4"/>
      <c r="F5" s="46">
        <v>42747</v>
      </c>
      <c r="G5" s="4" t="s">
        <v>1</v>
      </c>
      <c r="H5" s="4">
        <f>410*1.05</f>
        <v>430.5</v>
      </c>
      <c r="I5" s="4"/>
      <c r="K5" s="46">
        <v>42751</v>
      </c>
      <c r="L5" s="4" t="s">
        <v>101</v>
      </c>
      <c r="M5" s="4">
        <v>208</v>
      </c>
      <c r="N5" s="4"/>
      <c r="P5" s="46">
        <v>42763</v>
      </c>
      <c r="Q5" s="4" t="s">
        <v>101</v>
      </c>
      <c r="R5" s="4">
        <v>430.5</v>
      </c>
      <c r="S5" s="4"/>
      <c r="U5" s="46">
        <v>42766</v>
      </c>
      <c r="V5" s="4" t="s">
        <v>101</v>
      </c>
      <c r="W5" s="4">
        <v>300</v>
      </c>
      <c r="X5" s="4"/>
      <c r="Z5" s="46"/>
      <c r="AA5" s="4"/>
      <c r="AB5" s="4"/>
      <c r="AC5" s="4"/>
      <c r="AE5" s="46"/>
      <c r="AF5" s="4"/>
      <c r="AG5" s="4"/>
      <c r="AH5" s="4"/>
      <c r="AI5" s="19"/>
      <c r="AJ5" s="33" t="s">
        <v>39</v>
      </c>
      <c r="AK5" s="47">
        <f>+AO37</f>
        <v>94342</v>
      </c>
      <c r="AM5" s="37" t="str">
        <f>+AJ5</f>
        <v>Checking</v>
      </c>
      <c r="AN5" s="37"/>
      <c r="AO5" s="40"/>
      <c r="AQ5" s="37" t="str">
        <f>+AJ6</f>
        <v>Accounts Receivable</v>
      </c>
      <c r="AR5" s="37"/>
      <c r="AS5" s="40"/>
      <c r="AU5" s="37" t="str">
        <f>+AJ8</f>
        <v>Prepaid Insurance</v>
      </c>
      <c r="AV5" s="37"/>
      <c r="AW5" s="40"/>
      <c r="AY5" s="37" t="str">
        <f>+AJ12</f>
        <v>Furniture &amp; Equipment</v>
      </c>
      <c r="AZ5" s="37"/>
      <c r="BA5" s="40"/>
      <c r="BC5" s="38" t="str">
        <f>+AJ16</f>
        <v>Loan Payable - Current</v>
      </c>
      <c r="BD5" s="38"/>
      <c r="BE5" s="39"/>
      <c r="BG5" s="38" t="str">
        <f>+AJ20</f>
        <v>Loan Payable -  Long Term</v>
      </c>
      <c r="BH5" s="38"/>
      <c r="BI5" s="39"/>
      <c r="BK5" s="48" t="str">
        <f>+AJ25</f>
        <v>Service</v>
      </c>
      <c r="BL5" s="49"/>
      <c r="BM5" s="50"/>
      <c r="BO5" s="48" t="str">
        <f>+AJ28</f>
        <v>Depreciation Expense</v>
      </c>
      <c r="BP5" s="49"/>
      <c r="BQ5" s="50"/>
      <c r="BS5" s="48" t="str">
        <f>+AJ33</f>
        <v>Office Supplies</v>
      </c>
      <c r="BT5" s="49"/>
      <c r="BU5" s="50"/>
      <c r="BW5" s="29" t="str">
        <f>+AJ6</f>
        <v>Accounts Receivable</v>
      </c>
      <c r="BX5" s="12">
        <f t="shared" si="0"/>
        <v>1215.27</v>
      </c>
      <c r="BY5" s="12"/>
      <c r="BZ5" s="12"/>
      <c r="CA5" s="29" t="s">
        <v>66</v>
      </c>
      <c r="CB5" s="12">
        <f t="shared" si="1"/>
        <v>1000</v>
      </c>
      <c r="CC5" s="12"/>
      <c r="CE5" s="91">
        <v>44197</v>
      </c>
      <c r="CF5" s="94"/>
      <c r="CG5" s="97"/>
      <c r="CH5" s="102"/>
      <c r="CI5" s="103"/>
      <c r="CJ5" s="98"/>
      <c r="CK5" s="97"/>
      <c r="CL5" s="104"/>
      <c r="CM5" s="103"/>
      <c r="CN5" s="99">
        <v>1</v>
      </c>
      <c r="CO5" s="101">
        <v>400</v>
      </c>
      <c r="CP5" s="101">
        <f>CN5*CO5</f>
        <v>400</v>
      </c>
      <c r="CR5" s="125" t="s">
        <v>15</v>
      </c>
      <c r="CS5" s="125"/>
      <c r="CT5" s="125">
        <v>0</v>
      </c>
      <c r="CU5" s="27"/>
      <c r="CV5" s="28" t="s">
        <v>15</v>
      </c>
      <c r="CW5" s="28"/>
      <c r="CX5" s="28">
        <v>0</v>
      </c>
      <c r="CZ5" s="54" t="s">
        <v>6</v>
      </c>
      <c r="DA5" s="54" t="s">
        <v>7</v>
      </c>
      <c r="DB5" s="54" t="s">
        <v>4</v>
      </c>
      <c r="DD5" s="18" t="s">
        <v>6</v>
      </c>
      <c r="DE5" s="18" t="s">
        <v>7</v>
      </c>
      <c r="DF5" s="18" t="s">
        <v>4</v>
      </c>
      <c r="DH5" s="137"/>
      <c r="DI5" s="137" t="s">
        <v>113</v>
      </c>
      <c r="DJ5" s="137" t="s">
        <v>115</v>
      </c>
      <c r="DK5" s="137" t="s">
        <v>116</v>
      </c>
      <c r="DL5" s="137" t="s">
        <v>118</v>
      </c>
      <c r="DM5" s="137" t="s">
        <v>112</v>
      </c>
      <c r="DN5" s="137" t="s">
        <v>115</v>
      </c>
      <c r="DO5" s="137" t="s">
        <v>116</v>
      </c>
    </row>
    <row r="6" spans="1:119" ht="15.75" x14ac:dyDescent="0.25">
      <c r="A6" s="64"/>
      <c r="B6" s="117" t="s">
        <v>94</v>
      </c>
      <c r="C6" s="4"/>
      <c r="D6" s="4">
        <v>-2897</v>
      </c>
      <c r="F6" s="46"/>
      <c r="G6" s="116" t="s">
        <v>45</v>
      </c>
      <c r="H6" s="4"/>
      <c r="I6" s="4">
        <v>-410</v>
      </c>
      <c r="K6" s="46"/>
      <c r="L6" s="116" t="s">
        <v>46</v>
      </c>
      <c r="M6" s="4"/>
      <c r="N6" s="4">
        <f>-M5</f>
        <v>-208</v>
      </c>
      <c r="P6" s="46"/>
      <c r="Q6" s="116" t="s">
        <v>1</v>
      </c>
      <c r="R6" s="4"/>
      <c r="S6" s="4">
        <f>-R5</f>
        <v>-430.5</v>
      </c>
      <c r="U6" s="46"/>
      <c r="V6" s="116" t="s">
        <v>46</v>
      </c>
      <c r="W6" s="4"/>
      <c r="X6" s="4">
        <v>-300</v>
      </c>
      <c r="Z6" s="46"/>
      <c r="AA6" s="4"/>
      <c r="AB6" s="4"/>
      <c r="AC6" s="4"/>
      <c r="AE6" s="46"/>
      <c r="AF6" s="4"/>
      <c r="AG6" s="4"/>
      <c r="AH6" s="4"/>
      <c r="AI6" s="19"/>
      <c r="AJ6" s="33" t="s">
        <v>1</v>
      </c>
      <c r="AK6" s="47">
        <f>+AS19</f>
        <v>1215.27</v>
      </c>
      <c r="AM6" s="18" t="s">
        <v>6</v>
      </c>
      <c r="AN6" s="18" t="s">
        <v>7</v>
      </c>
      <c r="AO6" s="18" t="s">
        <v>4</v>
      </c>
      <c r="AQ6" s="18" t="s">
        <v>6</v>
      </c>
      <c r="AR6" s="18" t="s">
        <v>7</v>
      </c>
      <c r="AS6" s="18" t="s">
        <v>4</v>
      </c>
      <c r="AU6" s="18" t="s">
        <v>6</v>
      </c>
      <c r="AV6" s="18" t="s">
        <v>7</v>
      </c>
      <c r="AW6" s="53" t="s">
        <v>4</v>
      </c>
      <c r="AY6" s="18" t="s">
        <v>6</v>
      </c>
      <c r="AZ6" s="18" t="s">
        <v>7</v>
      </c>
      <c r="BA6" s="53" t="s">
        <v>4</v>
      </c>
      <c r="BC6" s="18" t="s">
        <v>6</v>
      </c>
      <c r="BD6" s="18" t="s">
        <v>7</v>
      </c>
      <c r="BE6" s="53" t="s">
        <v>4</v>
      </c>
      <c r="BG6" s="18" t="s">
        <v>6</v>
      </c>
      <c r="BH6" s="18" t="s">
        <v>7</v>
      </c>
      <c r="BI6" s="53" t="s">
        <v>4</v>
      </c>
      <c r="BK6" s="18" t="s">
        <v>6</v>
      </c>
      <c r="BL6" s="18" t="s">
        <v>7</v>
      </c>
      <c r="BM6" s="53" t="s">
        <v>4</v>
      </c>
      <c r="BO6" s="54" t="s">
        <v>6</v>
      </c>
      <c r="BP6" s="54" t="s">
        <v>7</v>
      </c>
      <c r="BQ6" s="55" t="s">
        <v>4</v>
      </c>
      <c r="BS6" s="54" t="s">
        <v>6</v>
      </c>
      <c r="BT6" s="54" t="s">
        <v>7</v>
      </c>
      <c r="BU6" s="55" t="s">
        <v>4</v>
      </c>
      <c r="BW6" s="29" t="str">
        <f>+AJ7</f>
        <v>Inventory Asset</v>
      </c>
      <c r="BX6" s="12">
        <f t="shared" si="0"/>
        <v>1945</v>
      </c>
      <c r="BY6" s="12"/>
      <c r="BZ6" s="12"/>
      <c r="CA6" s="29" t="str">
        <f>+AJ15</f>
        <v>Interest Payable</v>
      </c>
      <c r="CB6" s="12">
        <f t="shared" si="1"/>
        <v>0</v>
      </c>
      <c r="CC6" s="12"/>
      <c r="CE6" s="82">
        <v>42760</v>
      </c>
      <c r="CF6" s="83">
        <v>1</v>
      </c>
      <c r="CG6" s="84">
        <v>400</v>
      </c>
      <c r="CH6" s="106">
        <f>CF6*CG6</f>
        <v>400</v>
      </c>
      <c r="CI6" s="103"/>
      <c r="CJ6" s="85"/>
      <c r="CK6" s="84"/>
      <c r="CL6" s="107"/>
      <c r="CM6" s="103"/>
      <c r="CN6" s="128">
        <v>1</v>
      </c>
      <c r="CO6" s="105">
        <v>400</v>
      </c>
      <c r="CP6" s="129">
        <f>CN6*CO6</f>
        <v>400</v>
      </c>
      <c r="CR6" s="65">
        <v>5000</v>
      </c>
      <c r="CS6" s="65"/>
      <c r="CT6" s="28">
        <f>+CT5+SUM(CR6:CS6)</f>
        <v>5000</v>
      </c>
      <c r="CU6" s="27"/>
      <c r="CV6" s="65">
        <v>7500</v>
      </c>
      <c r="CW6" s="65"/>
      <c r="CX6" s="28">
        <f>+CX5+SUM(CV6:CW6)</f>
        <v>7500</v>
      </c>
      <c r="CZ6" s="41" t="s">
        <v>15</v>
      </c>
      <c r="DA6" s="41"/>
      <c r="DB6" s="41">
        <v>0</v>
      </c>
      <c r="DD6" s="41" t="s">
        <v>15</v>
      </c>
      <c r="DE6" s="41"/>
      <c r="DF6" s="41">
        <v>0</v>
      </c>
      <c r="DH6" s="138" t="s">
        <v>120</v>
      </c>
      <c r="DI6" s="138">
        <v>4583.33</v>
      </c>
      <c r="DJ6" s="138">
        <v>258</v>
      </c>
      <c r="DK6" s="138">
        <v>66</v>
      </c>
      <c r="DL6" s="138">
        <v>720</v>
      </c>
      <c r="DM6" s="138">
        <f>DI6-DJ6-DK6-DL6</f>
        <v>3539.33</v>
      </c>
      <c r="DN6" s="138">
        <f>DJ6</f>
        <v>258</v>
      </c>
      <c r="DO6" s="138">
        <f>DK6</f>
        <v>66</v>
      </c>
    </row>
    <row r="7" spans="1:119" ht="15.75" x14ac:dyDescent="0.25">
      <c r="A7" s="64"/>
      <c r="B7" s="4"/>
      <c r="C7" s="4"/>
      <c r="D7" s="4"/>
      <c r="F7" s="46"/>
      <c r="G7" s="116" t="s">
        <v>61</v>
      </c>
      <c r="H7" s="4"/>
      <c r="I7" s="4">
        <f>-SUM(H5:I6)</f>
        <v>-20.5</v>
      </c>
      <c r="K7" s="46"/>
      <c r="L7" s="4"/>
      <c r="M7" s="4"/>
      <c r="N7" s="4"/>
      <c r="P7" s="46"/>
      <c r="Q7" s="4"/>
      <c r="R7" s="4"/>
      <c r="S7" s="4"/>
      <c r="U7" s="46"/>
      <c r="V7" s="4"/>
      <c r="W7" s="4"/>
      <c r="X7" s="4"/>
      <c r="Z7" s="46"/>
      <c r="AA7" s="4"/>
      <c r="AB7" s="4"/>
      <c r="AC7" s="4"/>
      <c r="AE7" s="46"/>
      <c r="AF7" s="4"/>
      <c r="AG7" s="4"/>
      <c r="AH7" s="4"/>
      <c r="AI7" s="19"/>
      <c r="AJ7" s="33" t="s">
        <v>40</v>
      </c>
      <c r="AK7" s="47">
        <f>+AS37</f>
        <v>1945</v>
      </c>
      <c r="AM7" s="9" t="s">
        <v>15</v>
      </c>
      <c r="AN7" s="9"/>
      <c r="AO7" s="9">
        <v>0</v>
      </c>
      <c r="AQ7" s="9" t="s">
        <v>15</v>
      </c>
      <c r="AR7" s="9"/>
      <c r="AS7" s="9">
        <v>0</v>
      </c>
      <c r="AU7" s="9" t="s">
        <v>15</v>
      </c>
      <c r="AV7" s="9"/>
      <c r="AW7" s="56">
        <v>0</v>
      </c>
      <c r="AY7" s="9" t="s">
        <v>15</v>
      </c>
      <c r="AZ7" s="9"/>
      <c r="BA7" s="56">
        <v>0</v>
      </c>
      <c r="BC7" s="41" t="s">
        <v>15</v>
      </c>
      <c r="BD7" s="9"/>
      <c r="BE7" s="57">
        <v>0</v>
      </c>
      <c r="BG7" s="41" t="s">
        <v>15</v>
      </c>
      <c r="BH7" s="9"/>
      <c r="BI7" s="57">
        <v>0</v>
      </c>
      <c r="BK7" s="58" t="s">
        <v>15</v>
      </c>
      <c r="BL7" s="9"/>
      <c r="BM7" s="3">
        <v>0</v>
      </c>
      <c r="BO7" s="1" t="s">
        <v>15</v>
      </c>
      <c r="BP7" s="2"/>
      <c r="BQ7" s="2">
        <v>0</v>
      </c>
      <c r="BS7" s="1" t="s">
        <v>15</v>
      </c>
      <c r="BT7" s="2"/>
      <c r="BU7" s="2">
        <v>0</v>
      </c>
      <c r="BW7" s="29" t="str">
        <f>+AJ8</f>
        <v>Prepaid Insurance</v>
      </c>
      <c r="BX7" s="12">
        <f t="shared" si="0"/>
        <v>11000</v>
      </c>
      <c r="BY7" s="12"/>
      <c r="BZ7" s="12"/>
      <c r="CA7" s="29" t="str">
        <f>+AJ16</f>
        <v>Loan Payable - Current</v>
      </c>
      <c r="CB7" s="12">
        <f t="shared" si="1"/>
        <v>0</v>
      </c>
      <c r="CC7" s="12"/>
      <c r="CE7" s="82"/>
      <c r="CF7" s="83"/>
      <c r="CG7" s="84"/>
      <c r="CH7" s="106"/>
      <c r="CI7" s="103"/>
      <c r="CJ7" s="85"/>
      <c r="CK7" s="84"/>
      <c r="CL7" s="107"/>
      <c r="CM7" s="103"/>
      <c r="CN7" s="86">
        <f>SUM(CN5:CN6)</f>
        <v>2</v>
      </c>
      <c r="CO7" s="105">
        <f>CP7/CN7</f>
        <v>400</v>
      </c>
      <c r="CP7" s="105">
        <f>SUM(CP5:CP6)</f>
        <v>800</v>
      </c>
      <c r="CR7" s="65">
        <f>H5</f>
        <v>430.5</v>
      </c>
      <c r="CS7" s="65"/>
      <c r="CT7" s="28">
        <f>+CT6+SUM(CR7:CS7)</f>
        <v>5430.5</v>
      </c>
      <c r="CU7" s="27"/>
      <c r="CV7" s="65">
        <f>H12</f>
        <v>399</v>
      </c>
      <c r="CW7" s="65"/>
      <c r="CX7" s="28">
        <f>+CX6+SUM(CV7:CW7)</f>
        <v>7899</v>
      </c>
      <c r="CZ7" s="12"/>
      <c r="DA7" s="12">
        <v>-15000</v>
      </c>
      <c r="DB7" s="41">
        <f>+DB6+SUM(CZ7:DA7)</f>
        <v>-15000</v>
      </c>
      <c r="DD7" s="12"/>
      <c r="DE7" s="12"/>
      <c r="DF7" s="41">
        <f>+DF6+SUM(DD7:DE7)</f>
        <v>0</v>
      </c>
      <c r="DH7" s="138" t="s">
        <v>123</v>
      </c>
      <c r="DI7" s="139">
        <v>800</v>
      </c>
      <c r="DJ7" s="139">
        <v>49</v>
      </c>
      <c r="DK7" s="139">
        <v>11</v>
      </c>
      <c r="DL7" s="139">
        <v>110</v>
      </c>
      <c r="DM7" s="139">
        <f>DI7-SUM(DJ7:DL7)</f>
        <v>630</v>
      </c>
      <c r="DN7" s="139">
        <f>DJ7</f>
        <v>49</v>
      </c>
      <c r="DO7" s="139">
        <f>DK7</f>
        <v>11</v>
      </c>
    </row>
    <row r="8" spans="1:119" ht="15.75" x14ac:dyDescent="0.25">
      <c r="A8" s="64">
        <v>42736</v>
      </c>
      <c r="B8" s="4" t="s">
        <v>1</v>
      </c>
      <c r="C8" s="4">
        <f>5000+7500+8000</f>
        <v>20500</v>
      </c>
      <c r="D8" s="4"/>
      <c r="F8" s="46"/>
      <c r="G8" s="4"/>
      <c r="H8" s="4"/>
      <c r="I8" s="4"/>
      <c r="K8" s="46">
        <v>42752</v>
      </c>
      <c r="L8" s="4" t="s">
        <v>39</v>
      </c>
      <c r="M8" s="4">
        <v>628</v>
      </c>
      <c r="N8" s="4"/>
      <c r="P8" s="46">
        <v>42763</v>
      </c>
      <c r="Q8" s="4" t="s">
        <v>101</v>
      </c>
      <c r="R8" s="4">
        <v>525</v>
      </c>
      <c r="S8" s="4"/>
      <c r="U8" s="216">
        <v>42766</v>
      </c>
      <c r="V8" s="217" t="s">
        <v>29</v>
      </c>
      <c r="W8" s="217">
        <f>-X9</f>
        <v>80</v>
      </c>
      <c r="X8" s="217"/>
      <c r="Z8" s="46"/>
      <c r="AA8" s="4"/>
      <c r="AB8" s="4"/>
      <c r="AC8" s="4"/>
      <c r="AE8" s="46"/>
      <c r="AF8" s="4"/>
      <c r="AG8" s="4"/>
      <c r="AH8" s="4"/>
      <c r="AI8" s="19"/>
      <c r="AJ8" s="33" t="s">
        <v>18</v>
      </c>
      <c r="AK8" s="47">
        <f>+AW10</f>
        <v>11000</v>
      </c>
      <c r="AM8" s="15">
        <f>C14</f>
        <v>25000</v>
      </c>
      <c r="AN8" s="15"/>
      <c r="AO8" s="9">
        <f>+AO7+SUM(AM8:AN8)</f>
        <v>25000</v>
      </c>
      <c r="AQ8" s="15">
        <f>C8</f>
        <v>20500</v>
      </c>
      <c r="AR8" s="15"/>
      <c r="AS8" s="9">
        <f>AS7+SUM(AQ8:AR8)</f>
        <v>20500</v>
      </c>
      <c r="AU8" s="15">
        <f>R14</f>
        <v>11000</v>
      </c>
      <c r="AV8" s="15"/>
      <c r="AW8" s="56">
        <f>+AW7+SUM(AU8:AV8)</f>
        <v>11000</v>
      </c>
      <c r="AY8" s="15">
        <f>C15</f>
        <v>75000</v>
      </c>
      <c r="AZ8" s="15"/>
      <c r="BA8" s="56">
        <f>+BA7+SUM(AY8:AZ8)</f>
        <v>75000</v>
      </c>
      <c r="BC8" s="15"/>
      <c r="BD8" s="15"/>
      <c r="BE8" s="57">
        <f>+BE7+SUM(BC8:BD8)</f>
        <v>0</v>
      </c>
      <c r="BG8" s="15"/>
      <c r="BH8" s="15">
        <f>D17</f>
        <v>-22000</v>
      </c>
      <c r="BI8" s="57">
        <f>+BI7+SUM(BG8:BH8)</f>
        <v>-22000</v>
      </c>
      <c r="BK8" s="15"/>
      <c r="BL8" s="15">
        <f>N6</f>
        <v>-208</v>
      </c>
      <c r="BM8" s="3">
        <f>+BM7+SUM(BK8:BL8)</f>
        <v>-208</v>
      </c>
      <c r="BO8" s="15"/>
      <c r="BP8" s="15"/>
      <c r="BQ8" s="2">
        <f>+BQ7+SUM(BO8:BP8)</f>
        <v>0</v>
      </c>
      <c r="BS8" s="15">
        <f>R17</f>
        <v>500</v>
      </c>
      <c r="BT8" s="15"/>
      <c r="BU8" s="2">
        <f>+BU7+SUM(BS8:BT8)</f>
        <v>500</v>
      </c>
      <c r="BW8" s="29" t="str">
        <f>+AJ9</f>
        <v>Short-Term Investments</v>
      </c>
      <c r="BX8" s="12">
        <f t="shared" si="0"/>
        <v>12000</v>
      </c>
      <c r="BY8" s="12"/>
      <c r="BZ8" s="12"/>
      <c r="CA8" s="29" t="str">
        <f>+AJ17</f>
        <v>Payroll Liability</v>
      </c>
      <c r="CB8" s="12">
        <f t="shared" si="1"/>
        <v>1598</v>
      </c>
      <c r="CC8" s="12"/>
      <c r="CE8" s="82">
        <v>42760</v>
      </c>
      <c r="CF8" s="83"/>
      <c r="CG8" s="84"/>
      <c r="CH8" s="106"/>
      <c r="CI8" s="103"/>
      <c r="CJ8" s="85">
        <v>1</v>
      </c>
      <c r="CK8" s="84">
        <v>400</v>
      </c>
      <c r="CL8" s="107">
        <f>CJ8*CK8</f>
        <v>400</v>
      </c>
      <c r="CM8" s="103"/>
      <c r="CN8" s="86">
        <f>CN7-CJ8</f>
        <v>1</v>
      </c>
      <c r="CO8" s="105">
        <f>CO7</f>
        <v>400</v>
      </c>
      <c r="CP8" s="105">
        <f>CN8*CO8</f>
        <v>400</v>
      </c>
      <c r="CR8" s="65"/>
      <c r="CS8" s="65">
        <f>I20</f>
        <v>-5000</v>
      </c>
      <c r="CT8" s="28">
        <f t="shared" ref="CT8:CT9" si="2">+CT7+SUM(CR8:CS8)</f>
        <v>430.5</v>
      </c>
      <c r="CU8" s="27"/>
      <c r="CV8" s="65"/>
      <c r="CW8" s="65">
        <f>+I23</f>
        <v>-7500</v>
      </c>
      <c r="CX8" s="28">
        <f t="shared" ref="CX8:CX9" si="3">+CX7+SUM(CV8:CW8)</f>
        <v>399</v>
      </c>
      <c r="CZ8" s="12">
        <f>R26</f>
        <v>15000</v>
      </c>
      <c r="DA8" s="12"/>
      <c r="DB8" s="41">
        <f>+DB7+SUM(CZ8:DA8)</f>
        <v>0</v>
      </c>
      <c r="DD8" s="12"/>
      <c r="DE8" s="12"/>
      <c r="DF8" s="41">
        <f>+DF7+SUM(DD8:DE8)</f>
        <v>0</v>
      </c>
      <c r="DH8" s="138" t="s">
        <v>85</v>
      </c>
      <c r="DI8" s="140">
        <f>SUM(DI6:DI7)</f>
        <v>5383.33</v>
      </c>
      <c r="DJ8" s="140">
        <f t="shared" ref="DJ8:DO8" si="4">SUM(DJ6:DJ7)</f>
        <v>307</v>
      </c>
      <c r="DK8" s="140">
        <f t="shared" si="4"/>
        <v>77</v>
      </c>
      <c r="DL8" s="140">
        <f t="shared" si="4"/>
        <v>830</v>
      </c>
      <c r="DM8" s="140">
        <f>SUM(DM6:DM7)</f>
        <v>4169.33</v>
      </c>
      <c r="DN8" s="140">
        <f t="shared" si="4"/>
        <v>307</v>
      </c>
      <c r="DO8" s="140">
        <f t="shared" si="4"/>
        <v>77</v>
      </c>
    </row>
    <row r="9" spans="1:119" ht="15.75" x14ac:dyDescent="0.25">
      <c r="A9" s="64"/>
      <c r="B9" s="116" t="s">
        <v>44</v>
      </c>
      <c r="C9" s="4"/>
      <c r="D9" s="4">
        <v>-20500</v>
      </c>
      <c r="F9" s="46"/>
      <c r="G9" s="4" t="s">
        <v>47</v>
      </c>
      <c r="H9" s="4">
        <v>328</v>
      </c>
      <c r="I9" s="4"/>
      <c r="K9" s="46"/>
      <c r="L9" s="116" t="s">
        <v>101</v>
      </c>
      <c r="M9" s="4"/>
      <c r="N9" s="4">
        <f>-M8</f>
        <v>-628</v>
      </c>
      <c r="P9" s="46"/>
      <c r="Q9" s="116" t="s">
        <v>1</v>
      </c>
      <c r="R9" s="4"/>
      <c r="S9" s="4">
        <f>-R8</f>
        <v>-525</v>
      </c>
      <c r="U9" s="216"/>
      <c r="V9" s="218" t="s">
        <v>39</v>
      </c>
      <c r="W9" s="217"/>
      <c r="X9" s="217">
        <v>-80</v>
      </c>
      <c r="Z9" s="46"/>
      <c r="AA9" s="4"/>
      <c r="AB9" s="4"/>
      <c r="AC9" s="4"/>
      <c r="AE9" s="46"/>
      <c r="AF9" s="4"/>
      <c r="AG9" s="4"/>
      <c r="AH9" s="4"/>
      <c r="AI9" s="19"/>
      <c r="AJ9" s="33" t="s">
        <v>71</v>
      </c>
      <c r="AK9" s="47">
        <f>+AW17</f>
        <v>12000</v>
      </c>
      <c r="AM9" s="15">
        <f>C20</f>
        <v>65000</v>
      </c>
      <c r="AN9" s="15"/>
      <c r="AO9" s="9">
        <f t="shared" ref="AO9" si="5">+AO8+SUM(AM9:AN9)</f>
        <v>90000</v>
      </c>
      <c r="AQ9" s="15">
        <f>H5</f>
        <v>430.5</v>
      </c>
      <c r="AR9" s="15"/>
      <c r="AS9" s="9">
        <f>AS8+SUM(AQ9:AR9)</f>
        <v>20930.5</v>
      </c>
      <c r="AU9" s="15"/>
      <c r="AV9" s="15"/>
      <c r="AW9" s="56">
        <f>+AW8+SUM(AU9:AV9)</f>
        <v>11000</v>
      </c>
      <c r="AY9" s="15">
        <f>C29</f>
        <v>16000</v>
      </c>
      <c r="AZ9" s="15"/>
      <c r="BA9" s="56">
        <f>+BA8+SUM(AY9:AZ9)</f>
        <v>91000</v>
      </c>
      <c r="BC9" s="15"/>
      <c r="BD9" s="15"/>
      <c r="BE9" s="57">
        <f t="shared" ref="BE9:BE11" si="6">+BE8+SUM(BC9:BD9)</f>
        <v>0</v>
      </c>
      <c r="BG9" s="15"/>
      <c r="BH9" s="15">
        <f>D24</f>
        <v>-50000</v>
      </c>
      <c r="BI9" s="57">
        <f>+BI8+SUM(BG9:BH9)</f>
        <v>-72000</v>
      </c>
      <c r="BK9" s="15"/>
      <c r="BL9" s="15">
        <f>X6</f>
        <v>-300</v>
      </c>
      <c r="BM9" s="3">
        <f t="shared" ref="BM9:BM17" si="7">+BM8+SUM(BK9:BL9)</f>
        <v>-508</v>
      </c>
      <c r="BO9" s="76"/>
      <c r="BP9" s="76"/>
      <c r="BQ9" s="2">
        <f t="shared" ref="BQ9:BQ10" si="8">+BQ8+SUM(BO9:BP9)</f>
        <v>0</v>
      </c>
      <c r="BS9" s="76"/>
      <c r="BT9" s="76"/>
      <c r="BU9" s="2">
        <f t="shared" ref="BU9:BU10" si="9">+BU8+SUM(BS9:BT9)</f>
        <v>500</v>
      </c>
      <c r="BW9" s="29" t="str">
        <f>+AJ10</f>
        <v>Undeposited Funds</v>
      </c>
      <c r="BX9" s="31">
        <f t="shared" si="0"/>
        <v>299.5</v>
      </c>
      <c r="BY9" s="12"/>
      <c r="BZ9" s="12"/>
      <c r="CA9" s="29" t="str">
        <f>+AJ18</f>
        <v>Sales Tax Payable</v>
      </c>
      <c r="CB9" s="12">
        <f t="shared" si="1"/>
        <v>123.37</v>
      </c>
      <c r="CC9" s="12"/>
      <c r="CE9" s="82"/>
      <c r="CF9" s="83"/>
      <c r="CG9" s="84"/>
      <c r="CH9" s="106"/>
      <c r="CI9" s="103"/>
      <c r="CJ9" s="85"/>
      <c r="CK9" s="84"/>
      <c r="CL9" s="107"/>
      <c r="CM9" s="103"/>
      <c r="CN9" s="86"/>
      <c r="CO9" s="105"/>
      <c r="CP9" s="105"/>
      <c r="CR9" s="65"/>
      <c r="CS9" s="65">
        <f>S6</f>
        <v>-430.5</v>
      </c>
      <c r="CT9" s="28">
        <f t="shared" si="2"/>
        <v>0</v>
      </c>
      <c r="CU9" s="27"/>
      <c r="CV9" s="65"/>
      <c r="CW9" s="65"/>
      <c r="CX9" s="28">
        <f t="shared" si="3"/>
        <v>399</v>
      </c>
      <c r="CZ9" s="12"/>
      <c r="DA9" s="12"/>
      <c r="DB9" s="41">
        <f>+DB8+SUM(CZ9:DA9)</f>
        <v>0</v>
      </c>
    </row>
    <row r="10" spans="1:119" ht="16.5" thickBot="1" x14ac:dyDescent="0.3">
      <c r="A10" s="64"/>
      <c r="B10" s="4"/>
      <c r="C10" s="4"/>
      <c r="D10" s="4"/>
      <c r="F10" s="46"/>
      <c r="G10" s="116" t="s">
        <v>40</v>
      </c>
      <c r="H10" s="4"/>
      <c r="I10" s="4">
        <v>-328</v>
      </c>
      <c r="K10" s="46"/>
      <c r="L10" s="4"/>
      <c r="M10" s="4"/>
      <c r="N10" s="4"/>
      <c r="P10" s="46"/>
      <c r="Q10" s="4"/>
      <c r="R10" s="4"/>
      <c r="S10" s="4"/>
      <c r="U10" s="46"/>
      <c r="V10" s="4"/>
      <c r="W10" s="4"/>
      <c r="X10" s="4"/>
      <c r="Z10" s="46"/>
      <c r="AA10" s="4"/>
      <c r="AB10" s="4"/>
      <c r="AC10" s="4"/>
      <c r="AE10" s="46"/>
      <c r="AF10" s="4"/>
      <c r="AG10" s="4"/>
      <c r="AH10" s="4"/>
      <c r="AI10" s="19"/>
      <c r="AJ10" s="33" t="s">
        <v>101</v>
      </c>
      <c r="AK10" s="47">
        <f>+AW32</f>
        <v>299.5</v>
      </c>
      <c r="AM10" s="15">
        <f>C23</f>
        <v>50000</v>
      </c>
      <c r="AN10" s="15"/>
      <c r="AO10" s="9">
        <f>+AO9+SUM(AM10:AN10)</f>
        <v>140000</v>
      </c>
      <c r="AQ10" s="15">
        <f>H12</f>
        <v>399</v>
      </c>
      <c r="AR10" s="15"/>
      <c r="AS10" s="9">
        <f>AS9+SUM(AQ10:AR10)</f>
        <v>21329.5</v>
      </c>
      <c r="AU10" s="15"/>
      <c r="AV10" s="15"/>
      <c r="AW10" s="56">
        <f>+AW9+SUM(AU10:AV10)</f>
        <v>11000</v>
      </c>
      <c r="AY10" s="15">
        <f>C32</f>
        <v>7000</v>
      </c>
      <c r="AZ10" s="15"/>
      <c r="BA10" s="56">
        <f>+BA9+SUM(AY10:AZ10)</f>
        <v>98000</v>
      </c>
      <c r="BC10" s="15"/>
      <c r="BD10" s="15"/>
      <c r="BE10" s="57">
        <f t="shared" si="6"/>
        <v>0</v>
      </c>
      <c r="BG10" s="15"/>
      <c r="BH10" s="15"/>
      <c r="BI10" s="57">
        <f>+BI9+SUM(BG10:BH10)</f>
        <v>-72000</v>
      </c>
      <c r="BK10" s="15"/>
      <c r="BL10" s="15"/>
      <c r="BM10" s="3">
        <f t="shared" si="7"/>
        <v>-508</v>
      </c>
      <c r="BO10" s="15"/>
      <c r="BP10" s="15"/>
      <c r="BQ10" s="2">
        <f t="shared" si="8"/>
        <v>0</v>
      </c>
      <c r="BS10" s="15"/>
      <c r="BT10" s="15"/>
      <c r="BU10" s="2">
        <f t="shared" si="9"/>
        <v>500</v>
      </c>
      <c r="BW10" s="30" t="s">
        <v>38</v>
      </c>
      <c r="BX10" s="12"/>
      <c r="BY10" s="12">
        <f>SUM(BX4:BX9)</f>
        <v>120801.77</v>
      </c>
      <c r="BZ10" s="12"/>
      <c r="CA10" s="29" t="str">
        <f>+AJ19</f>
        <v>Unearned Revenue</v>
      </c>
      <c r="CB10" s="12">
        <f t="shared" si="1"/>
        <v>0</v>
      </c>
      <c r="CC10" s="12"/>
      <c r="CE10" s="82"/>
      <c r="CF10" s="83"/>
      <c r="CG10" s="84"/>
      <c r="CH10" s="106"/>
      <c r="CI10" s="103"/>
      <c r="CJ10" s="85"/>
      <c r="CK10" s="84"/>
      <c r="CL10" s="107"/>
      <c r="CM10" s="103"/>
      <c r="CN10" s="86"/>
      <c r="CO10" s="105"/>
      <c r="CP10" s="105"/>
      <c r="CR10" s="73"/>
      <c r="CS10" s="73"/>
      <c r="CT10" s="73"/>
      <c r="CU10" s="74"/>
      <c r="CV10" s="73"/>
      <c r="CW10" s="73"/>
      <c r="CX10" s="73"/>
      <c r="CZ10" s="17"/>
      <c r="DA10" s="17"/>
      <c r="DB10" s="17"/>
      <c r="DD10" s="17"/>
      <c r="DE10" s="17"/>
      <c r="DF10" s="17"/>
    </row>
    <row r="11" spans="1:119" ht="16.5" thickBot="1" x14ac:dyDescent="0.3">
      <c r="A11" s="64">
        <v>42736</v>
      </c>
      <c r="B11" s="4" t="s">
        <v>44</v>
      </c>
      <c r="C11" s="4">
        <v>15000</v>
      </c>
      <c r="D11" s="4"/>
      <c r="F11" s="46"/>
      <c r="G11" s="4"/>
      <c r="H11" s="4"/>
      <c r="I11" s="4"/>
      <c r="K11" s="46">
        <v>42752</v>
      </c>
      <c r="L11" s="4" t="s">
        <v>39</v>
      </c>
      <c r="M11" s="4">
        <v>20500</v>
      </c>
      <c r="N11" s="4"/>
      <c r="P11" s="46">
        <v>42763</v>
      </c>
      <c r="Q11" s="4" t="s">
        <v>39</v>
      </c>
      <c r="R11" s="4">
        <v>956</v>
      </c>
      <c r="S11" s="4"/>
      <c r="U11" s="216">
        <v>42766</v>
      </c>
      <c r="V11" s="217" t="s">
        <v>48</v>
      </c>
      <c r="W11" s="217">
        <f>-X12</f>
        <v>15</v>
      </c>
      <c r="X11" s="217"/>
      <c r="Z11" s="46"/>
      <c r="AA11" s="4"/>
      <c r="AB11" s="4"/>
      <c r="AC11" s="4"/>
      <c r="AE11" s="46"/>
      <c r="AF11" s="4"/>
      <c r="AG11" s="4"/>
      <c r="AH11" s="4"/>
      <c r="AI11" s="19"/>
      <c r="AJ11" s="33" t="s">
        <v>9</v>
      </c>
      <c r="AK11" s="47">
        <f>+AW39</f>
        <v>0</v>
      </c>
      <c r="AM11" s="15"/>
      <c r="AN11" s="15">
        <f>D27</f>
        <v>-12000</v>
      </c>
      <c r="AO11" s="9">
        <f t="shared" ref="AO11:AO37" si="10">+AO10+SUM(AM11:AN11)</f>
        <v>128000</v>
      </c>
      <c r="AP11" s="17" t="s">
        <v>16</v>
      </c>
      <c r="AQ11" s="15"/>
      <c r="AR11" s="15">
        <f>I20</f>
        <v>-5000</v>
      </c>
      <c r="AS11" s="9">
        <f t="shared" ref="AS11:AS15" si="11">AS10+SUM(AQ11:AR11)</f>
        <v>16329.5</v>
      </c>
      <c r="AU11" s="16"/>
      <c r="AV11" s="16"/>
      <c r="AW11" s="16"/>
      <c r="BC11" s="15"/>
      <c r="BD11" s="15"/>
      <c r="BE11" s="57">
        <f t="shared" si="6"/>
        <v>0</v>
      </c>
      <c r="BK11" s="15"/>
      <c r="BL11" s="15"/>
      <c r="BM11" s="3">
        <f t="shared" si="7"/>
        <v>-508</v>
      </c>
      <c r="BO11" s="51"/>
      <c r="BP11" s="23"/>
      <c r="BQ11" s="52"/>
      <c r="BS11" s="16"/>
      <c r="BT11" s="16"/>
      <c r="BU11" s="16"/>
      <c r="BW11" s="12" t="s">
        <v>70</v>
      </c>
      <c r="BX11" s="12"/>
      <c r="BY11" s="12"/>
      <c r="BZ11" s="12"/>
      <c r="CA11" s="30" t="s">
        <v>67</v>
      </c>
      <c r="CB11" s="12"/>
      <c r="CC11" s="12">
        <f>SUM(CB4:CB10)</f>
        <v>2721.37</v>
      </c>
      <c r="CE11" s="82"/>
      <c r="CF11" s="83"/>
      <c r="CG11" s="84"/>
      <c r="CH11" s="106"/>
      <c r="CI11" s="103"/>
      <c r="CJ11" s="85"/>
      <c r="CK11" s="84"/>
      <c r="CL11" s="107"/>
      <c r="CM11" s="103"/>
      <c r="CN11" s="86"/>
      <c r="CO11" s="105"/>
      <c r="CP11" s="105"/>
      <c r="CR11" s="37" t="s">
        <v>97</v>
      </c>
      <c r="CS11" s="120"/>
      <c r="CT11" s="121"/>
      <c r="CV11" s="130" t="s">
        <v>105</v>
      </c>
      <c r="CW11" s="131"/>
      <c r="CX11" s="132"/>
      <c r="CZ11" s="38"/>
      <c r="DA11" s="126"/>
      <c r="DB11" s="127"/>
      <c r="DD11" s="17"/>
      <c r="DE11" s="17"/>
      <c r="DF11" s="17"/>
    </row>
    <row r="12" spans="1:119" ht="16.5" thickBot="1" x14ac:dyDescent="0.3">
      <c r="A12" s="64"/>
      <c r="B12" s="116" t="s">
        <v>2</v>
      </c>
      <c r="C12" s="4"/>
      <c r="D12" s="4">
        <v>-15000</v>
      </c>
      <c r="F12" s="46">
        <v>42747</v>
      </c>
      <c r="G12" s="4" t="s">
        <v>1</v>
      </c>
      <c r="H12" s="4">
        <f>380*1.05</f>
        <v>399</v>
      </c>
      <c r="I12" s="4"/>
      <c r="K12" s="46"/>
      <c r="L12" s="116" t="s">
        <v>101</v>
      </c>
      <c r="M12" s="4"/>
      <c r="N12" s="4">
        <f>-M11</f>
        <v>-20500</v>
      </c>
      <c r="P12" s="46"/>
      <c r="Q12" s="116" t="s">
        <v>101</v>
      </c>
      <c r="R12" s="4"/>
      <c r="S12" s="4">
        <f>-R11</f>
        <v>-956</v>
      </c>
      <c r="U12" s="216"/>
      <c r="V12" s="218" t="s">
        <v>39</v>
      </c>
      <c r="W12" s="217"/>
      <c r="X12" s="217">
        <v>-15</v>
      </c>
      <c r="Z12" s="46"/>
      <c r="AA12" s="4"/>
      <c r="AB12" s="4"/>
      <c r="AC12" s="4"/>
      <c r="AE12" s="46"/>
      <c r="AF12" s="4"/>
      <c r="AG12" s="4"/>
      <c r="AH12" s="4"/>
      <c r="AI12" s="19"/>
      <c r="AJ12" s="33" t="s">
        <v>69</v>
      </c>
      <c r="AK12" s="47">
        <f>+BA10</f>
        <v>98000</v>
      </c>
      <c r="AM12" s="15"/>
      <c r="AN12" s="15">
        <f>D30</f>
        <v>-16000</v>
      </c>
      <c r="AO12" s="9">
        <f t="shared" si="10"/>
        <v>112000</v>
      </c>
      <c r="AQ12" s="15"/>
      <c r="AR12" s="15">
        <f>+I23</f>
        <v>-7500</v>
      </c>
      <c r="AS12" s="9">
        <f t="shared" si="11"/>
        <v>8829.5</v>
      </c>
      <c r="AU12" s="37" t="str">
        <f>+AJ9</f>
        <v>Short-Term Investments</v>
      </c>
      <c r="AV12" s="37"/>
      <c r="AW12" s="40"/>
      <c r="AY12" s="38" t="str">
        <f>+AJ13</f>
        <v>Accounts Payable</v>
      </c>
      <c r="AZ12" s="38"/>
      <c r="BA12" s="39"/>
      <c r="BC12" s="16"/>
      <c r="BD12" s="16"/>
      <c r="BE12" s="16"/>
      <c r="BG12" s="59" t="str">
        <f>+AJ21</f>
        <v>Owners Draw</v>
      </c>
      <c r="BH12" s="60"/>
      <c r="BI12" s="61"/>
      <c r="BK12" s="15"/>
      <c r="BL12" s="15"/>
      <c r="BM12" s="3">
        <f t="shared" si="7"/>
        <v>-508</v>
      </c>
      <c r="BO12" s="48" t="str">
        <f>+AJ29</f>
        <v>Insurance Expense</v>
      </c>
      <c r="BP12" s="49"/>
      <c r="BQ12" s="50"/>
      <c r="BS12" s="48" t="str">
        <f>+AJ34</f>
        <v>Payroll Expenses</v>
      </c>
      <c r="BT12" s="49"/>
      <c r="BU12" s="50"/>
      <c r="BW12" s="12" t="str">
        <f>+AJ12</f>
        <v>Furniture &amp; Equipment</v>
      </c>
      <c r="BX12" s="12">
        <f>+AK12</f>
        <v>98000</v>
      </c>
      <c r="BY12" s="12"/>
      <c r="BZ12" s="12"/>
      <c r="CA12" s="12" t="str">
        <f>+AJ20</f>
        <v>Loan Payable -  Long Term</v>
      </c>
      <c r="CB12" s="12"/>
      <c r="CC12" s="31">
        <f>-AK20</f>
        <v>72000</v>
      </c>
      <c r="CE12" s="82"/>
      <c r="CF12" s="83"/>
      <c r="CG12" s="84"/>
      <c r="CH12" s="106"/>
      <c r="CI12" s="103"/>
      <c r="CJ12" s="85"/>
      <c r="CK12" s="84"/>
      <c r="CL12" s="107"/>
      <c r="CM12" s="103"/>
      <c r="CN12" s="86"/>
      <c r="CO12" s="105"/>
      <c r="CP12" s="105"/>
      <c r="CR12" s="122" t="s">
        <v>6</v>
      </c>
      <c r="CS12" s="123" t="s">
        <v>7</v>
      </c>
      <c r="CT12" s="124" t="s">
        <v>4</v>
      </c>
      <c r="CU12" s="74"/>
      <c r="CV12" s="122" t="s">
        <v>6</v>
      </c>
      <c r="CW12" s="123" t="s">
        <v>7</v>
      </c>
      <c r="CX12" s="124" t="s">
        <v>4</v>
      </c>
      <c r="CZ12" s="18" t="s">
        <v>6</v>
      </c>
      <c r="DA12" s="18" t="s">
        <v>7</v>
      </c>
      <c r="DB12" s="18" t="s">
        <v>4</v>
      </c>
      <c r="DD12" s="17"/>
      <c r="DE12" s="17"/>
      <c r="DF12" s="17"/>
    </row>
    <row r="13" spans="1:119" ht="16.5" thickBot="1" x14ac:dyDescent="0.3">
      <c r="A13" s="64"/>
      <c r="B13" s="4"/>
      <c r="C13" s="4"/>
      <c r="D13" s="4"/>
      <c r="F13" s="46"/>
      <c r="G13" s="116" t="s">
        <v>45</v>
      </c>
      <c r="H13" s="4"/>
      <c r="I13" s="4">
        <v>-380</v>
      </c>
      <c r="K13" s="46"/>
      <c r="L13" s="4"/>
      <c r="M13" s="4"/>
      <c r="N13" s="4"/>
      <c r="P13" s="46"/>
      <c r="Q13" s="4"/>
      <c r="R13" s="4"/>
      <c r="S13" s="4"/>
      <c r="U13" s="46"/>
      <c r="V13" s="4"/>
      <c r="W13" s="4"/>
      <c r="X13" s="4"/>
      <c r="Z13" s="46"/>
      <c r="AA13" s="4"/>
      <c r="AB13" s="4"/>
      <c r="AC13" s="4"/>
      <c r="AE13" s="46"/>
      <c r="AF13" s="4"/>
      <c r="AG13" s="4"/>
      <c r="AH13" s="4"/>
      <c r="AI13" s="19"/>
      <c r="AJ13" s="34" t="s">
        <v>2</v>
      </c>
      <c r="AK13" s="7">
        <f>+BA25</f>
        <v>0</v>
      </c>
      <c r="AM13" s="15"/>
      <c r="AN13" s="15">
        <f>D33</f>
        <v>-7000</v>
      </c>
      <c r="AO13" s="9">
        <f t="shared" si="10"/>
        <v>105000</v>
      </c>
      <c r="AQ13" s="15"/>
      <c r="AR13" s="15">
        <f>I26</f>
        <v>-8000</v>
      </c>
      <c r="AS13" s="9">
        <f t="shared" si="11"/>
        <v>829.5</v>
      </c>
      <c r="AU13" s="18" t="s">
        <v>6</v>
      </c>
      <c r="AV13" s="18" t="s">
        <v>7</v>
      </c>
      <c r="AW13" s="53" t="s">
        <v>4</v>
      </c>
      <c r="AY13" s="18" t="s">
        <v>6</v>
      </c>
      <c r="AZ13" s="18" t="s">
        <v>7</v>
      </c>
      <c r="BA13" s="53" t="s">
        <v>4</v>
      </c>
      <c r="BC13" s="38" t="str">
        <f>+AJ17</f>
        <v>Payroll Liability</v>
      </c>
      <c r="BD13" s="38"/>
      <c r="BE13" s="39"/>
      <c r="BG13" s="54" t="s">
        <v>6</v>
      </c>
      <c r="BH13" s="54" t="s">
        <v>7</v>
      </c>
      <c r="BI13" s="55" t="s">
        <v>4</v>
      </c>
      <c r="BK13" s="15"/>
      <c r="BL13" s="15"/>
      <c r="BM13" s="3">
        <f t="shared" si="7"/>
        <v>-508</v>
      </c>
      <c r="BO13" s="54" t="s">
        <v>6</v>
      </c>
      <c r="BP13" s="54" t="s">
        <v>7</v>
      </c>
      <c r="BQ13" s="55" t="s">
        <v>4</v>
      </c>
      <c r="BS13" s="54" t="s">
        <v>6</v>
      </c>
      <c r="BT13" s="54" t="s">
        <v>7</v>
      </c>
      <c r="BU13" s="55" t="s">
        <v>4</v>
      </c>
      <c r="BW13" s="29" t="s">
        <v>63</v>
      </c>
      <c r="BX13" s="31">
        <f>-AK11</f>
        <v>0</v>
      </c>
      <c r="BY13" s="12"/>
      <c r="BZ13" s="12"/>
      <c r="CA13" s="12" t="s">
        <v>21</v>
      </c>
      <c r="CB13" s="12"/>
      <c r="CC13" s="12">
        <f>+SUM(CC11:CC12)</f>
        <v>74721.37</v>
      </c>
      <c r="CE13" s="82"/>
      <c r="CF13" s="83"/>
      <c r="CG13" s="84"/>
      <c r="CH13" s="106"/>
      <c r="CI13" s="103"/>
      <c r="CJ13" s="85"/>
      <c r="CK13" s="84"/>
      <c r="CL13" s="107"/>
      <c r="CM13" s="103"/>
      <c r="CN13" s="86"/>
      <c r="CO13" s="105"/>
      <c r="CP13" s="105"/>
      <c r="CR13" s="28" t="s">
        <v>15</v>
      </c>
      <c r="CS13" s="28"/>
      <c r="CT13" s="28">
        <v>0</v>
      </c>
      <c r="CV13" s="28" t="s">
        <v>15</v>
      </c>
      <c r="CW13" s="28"/>
      <c r="CX13" s="28">
        <v>0</v>
      </c>
      <c r="CZ13" s="41" t="s">
        <v>15</v>
      </c>
      <c r="DA13" s="41"/>
      <c r="DB13" s="41">
        <v>0</v>
      </c>
      <c r="DD13" s="19"/>
      <c r="DE13" s="19"/>
      <c r="DF13" s="19"/>
    </row>
    <row r="14" spans="1:119" ht="15.75" x14ac:dyDescent="0.25">
      <c r="A14" s="64">
        <v>42736</v>
      </c>
      <c r="B14" s="4" t="s">
        <v>39</v>
      </c>
      <c r="C14" s="4">
        <v>25000</v>
      </c>
      <c r="D14" s="4"/>
      <c r="F14" s="46"/>
      <c r="G14" s="116" t="s">
        <v>61</v>
      </c>
      <c r="H14" s="4"/>
      <c r="I14" s="4">
        <f>-SUM(H12:I13)</f>
        <v>-19</v>
      </c>
      <c r="K14" s="46">
        <v>42760</v>
      </c>
      <c r="L14" s="4" t="s">
        <v>40</v>
      </c>
      <c r="M14" s="4">
        <v>400</v>
      </c>
      <c r="N14" s="4"/>
      <c r="P14" s="46">
        <v>42763</v>
      </c>
      <c r="Q14" s="4" t="s">
        <v>18</v>
      </c>
      <c r="R14" s="4">
        <f>-S15</f>
        <v>11000</v>
      </c>
      <c r="S14" s="4"/>
      <c r="U14" s="46"/>
      <c r="V14" s="4"/>
      <c r="W14" s="4"/>
      <c r="X14" s="4"/>
      <c r="Z14" s="46"/>
      <c r="AA14" s="4"/>
      <c r="AB14" s="4"/>
      <c r="AC14" s="4"/>
      <c r="AE14" s="46"/>
      <c r="AF14" s="4"/>
      <c r="AG14" s="4"/>
      <c r="AH14" s="4"/>
      <c r="AI14" s="19"/>
      <c r="AJ14" s="34" t="s">
        <v>41</v>
      </c>
      <c r="AK14" s="7">
        <f>+BA31</f>
        <v>-1000</v>
      </c>
      <c r="AM14" s="15">
        <f>M8</f>
        <v>628</v>
      </c>
      <c r="AN14" s="15"/>
      <c r="AO14" s="9">
        <f t="shared" si="10"/>
        <v>105628</v>
      </c>
      <c r="AQ14" s="15">
        <f>M20</f>
        <v>525</v>
      </c>
      <c r="AR14" s="15"/>
      <c r="AS14" s="9">
        <f t="shared" si="11"/>
        <v>1354.5</v>
      </c>
      <c r="AU14" s="9" t="s">
        <v>15</v>
      </c>
      <c r="AV14" s="9"/>
      <c r="AW14" s="56">
        <f>+'[1]Beg Bal'!B18</f>
        <v>0</v>
      </c>
      <c r="AY14" s="41" t="s">
        <v>15</v>
      </c>
      <c r="AZ14" s="9"/>
      <c r="BA14" s="57">
        <v>0</v>
      </c>
      <c r="BC14" s="18" t="s">
        <v>6</v>
      </c>
      <c r="BD14" s="18" t="s">
        <v>7</v>
      </c>
      <c r="BE14" s="53" t="s">
        <v>4</v>
      </c>
      <c r="BG14" s="1" t="s">
        <v>15</v>
      </c>
      <c r="BH14" s="9"/>
      <c r="BI14" s="2">
        <v>0</v>
      </c>
      <c r="BK14" s="15"/>
      <c r="BL14" s="15"/>
      <c r="BM14" s="3">
        <f t="shared" si="7"/>
        <v>-508</v>
      </c>
      <c r="BO14" s="1" t="s">
        <v>15</v>
      </c>
      <c r="BP14" s="2"/>
      <c r="BQ14" s="2">
        <v>0</v>
      </c>
      <c r="BS14" s="1" t="s">
        <v>15</v>
      </c>
      <c r="BT14" s="2"/>
      <c r="BU14" s="2">
        <v>0</v>
      </c>
      <c r="BW14" s="30" t="s">
        <v>64</v>
      </c>
      <c r="BX14" s="12"/>
      <c r="BY14" s="31">
        <f>+BX12-BX13</f>
        <v>98000</v>
      </c>
      <c r="BZ14" s="12"/>
      <c r="CA14" s="12" t="s">
        <v>35</v>
      </c>
      <c r="CB14" s="12"/>
      <c r="CC14" s="12"/>
      <c r="CE14" s="82"/>
      <c r="CF14" s="83"/>
      <c r="CG14" s="84"/>
      <c r="CH14" s="106"/>
      <c r="CI14" s="103"/>
      <c r="CJ14" s="85"/>
      <c r="CK14" s="84"/>
      <c r="CL14" s="107"/>
      <c r="CM14" s="103"/>
      <c r="CN14" s="86"/>
      <c r="CO14" s="105"/>
      <c r="CP14" s="105"/>
      <c r="CR14" s="65">
        <v>8000</v>
      </c>
      <c r="CS14" s="65"/>
      <c r="CT14" s="28">
        <f>+CT13+SUM(CR14:CS14)</f>
        <v>8000</v>
      </c>
      <c r="CV14" s="65"/>
      <c r="CW14" s="65"/>
      <c r="CX14" s="28">
        <f>+CX13+SUM(CV14:CW14)</f>
        <v>0</v>
      </c>
      <c r="CZ14" s="12"/>
      <c r="DA14" s="12">
        <f>CS10</f>
        <v>0</v>
      </c>
      <c r="DB14" s="41">
        <f>+DB13+SUM(CZ14:DA14)</f>
        <v>0</v>
      </c>
      <c r="DD14" s="17"/>
      <c r="DE14" s="17"/>
      <c r="DF14" s="17"/>
    </row>
    <row r="15" spans="1:119" ht="16.5" thickBot="1" x14ac:dyDescent="0.3">
      <c r="A15" s="64"/>
      <c r="B15" s="4" t="s">
        <v>69</v>
      </c>
      <c r="C15" s="4">
        <v>75000</v>
      </c>
      <c r="D15" s="4"/>
      <c r="F15" s="46"/>
      <c r="G15" s="4"/>
      <c r="H15" s="4"/>
      <c r="I15" s="4"/>
      <c r="K15" s="46"/>
      <c r="L15" s="116" t="s">
        <v>39</v>
      </c>
      <c r="M15" s="4"/>
      <c r="N15" s="4">
        <v>-400</v>
      </c>
      <c r="P15" s="46"/>
      <c r="Q15" s="116" t="s">
        <v>39</v>
      </c>
      <c r="R15" s="4"/>
      <c r="S15" s="4">
        <v>-11000</v>
      </c>
      <c r="U15" s="46"/>
      <c r="V15" s="4"/>
      <c r="W15" s="4"/>
      <c r="X15" s="4"/>
      <c r="Z15" s="46"/>
      <c r="AA15" s="4"/>
      <c r="AB15" s="4"/>
      <c r="AC15" s="4"/>
      <c r="AE15" s="46"/>
      <c r="AF15" s="4"/>
      <c r="AG15" s="4"/>
      <c r="AH15" s="4"/>
      <c r="AI15" s="19"/>
      <c r="AJ15" s="34" t="s">
        <v>42</v>
      </c>
      <c r="AK15" s="7">
        <f>+BA39</f>
        <v>0</v>
      </c>
      <c r="AM15" s="15">
        <f>M11</f>
        <v>20500</v>
      </c>
      <c r="AN15" s="15"/>
      <c r="AO15" s="9">
        <f t="shared" si="10"/>
        <v>126128</v>
      </c>
      <c r="AQ15" s="15">
        <f>M27</f>
        <v>816.27</v>
      </c>
      <c r="AR15" s="15"/>
      <c r="AS15" s="9">
        <f t="shared" si="11"/>
        <v>2170.77</v>
      </c>
      <c r="AU15" s="15">
        <f>C26</f>
        <v>12000</v>
      </c>
      <c r="AV15" s="15"/>
      <c r="AW15" s="56">
        <f>+AW14+SUM(AU15:AV15)</f>
        <v>12000</v>
      </c>
      <c r="AY15" s="15"/>
      <c r="AZ15" s="15">
        <f>D12</f>
        <v>-15000</v>
      </c>
      <c r="BA15" s="57">
        <f>+BA14+SUM(AY15:AZ15)</f>
        <v>-15000</v>
      </c>
      <c r="BC15" s="41" t="s">
        <v>15</v>
      </c>
      <c r="BD15" s="9"/>
      <c r="BE15" s="57">
        <v>0</v>
      </c>
      <c r="BG15" s="15"/>
      <c r="BH15" s="15"/>
      <c r="BI15" s="2">
        <f>+BI14+SUM(BG15:BH15)</f>
        <v>0</v>
      </c>
      <c r="BK15" s="15"/>
      <c r="BL15" s="15"/>
      <c r="BM15" s="3">
        <f t="shared" si="7"/>
        <v>-508</v>
      </c>
      <c r="BO15" s="15"/>
      <c r="BP15" s="15"/>
      <c r="BQ15" s="2">
        <f>+BQ14+SUM(BO15:BP15)</f>
        <v>0</v>
      </c>
      <c r="BS15" s="15">
        <f>R29</f>
        <v>4583</v>
      </c>
      <c r="BT15" s="15"/>
      <c r="BU15" s="2">
        <f>+BU14+SUM(BS15:BT15)</f>
        <v>4583</v>
      </c>
      <c r="BW15" s="12"/>
      <c r="BX15" s="12"/>
      <c r="BY15" s="12"/>
      <c r="BZ15" s="32"/>
      <c r="CA15" s="29" t="str">
        <f>+AJ22</f>
        <v>Owners Equity</v>
      </c>
      <c r="CB15" s="12"/>
      <c r="CC15" s="142">
        <f>-SUM(AK21:AK37)</f>
        <v>144080.4</v>
      </c>
      <c r="CE15" s="82"/>
      <c r="CF15" s="87"/>
      <c r="CG15" s="88"/>
      <c r="CH15" s="108"/>
      <c r="CI15" s="103"/>
      <c r="CJ15" s="89"/>
      <c r="CK15" s="115"/>
      <c r="CL15" s="109"/>
      <c r="CM15" s="103"/>
      <c r="CN15" s="90"/>
      <c r="CO15" s="110"/>
      <c r="CP15" s="110"/>
      <c r="CR15" s="65"/>
      <c r="CS15" s="65">
        <f>I26</f>
        <v>-8000</v>
      </c>
      <c r="CT15" s="28">
        <f>+CT14+SUM(CR15:CS15)</f>
        <v>0</v>
      </c>
      <c r="CV15" s="65"/>
      <c r="CW15" s="65"/>
      <c r="CX15" s="28">
        <f>+CX14+SUM(CV15:CW15)</f>
        <v>0</v>
      </c>
      <c r="CZ15" s="12"/>
      <c r="DA15" s="12"/>
      <c r="DB15" s="41">
        <f>+DB14+SUM(CZ15:DA15)</f>
        <v>0</v>
      </c>
      <c r="DD15" s="17"/>
      <c r="DE15" s="17"/>
      <c r="DF15" s="17"/>
    </row>
    <row r="16" spans="1:119" ht="17.25" thickTop="1" thickBot="1" x14ac:dyDescent="0.3">
      <c r="A16" s="64"/>
      <c r="B16" s="116" t="s">
        <v>41</v>
      </c>
      <c r="C16" s="4"/>
      <c r="D16" s="4">
        <v>-1000</v>
      </c>
      <c r="F16" s="46"/>
      <c r="G16" s="4" t="s">
        <v>47</v>
      </c>
      <c r="H16" s="4">
        <v>304</v>
      </c>
      <c r="I16" s="4"/>
      <c r="K16" s="46"/>
      <c r="L16" s="4"/>
      <c r="M16" s="4"/>
      <c r="N16" s="4"/>
      <c r="P16" s="46"/>
      <c r="Q16" s="4"/>
      <c r="R16" s="4"/>
      <c r="S16" s="4"/>
      <c r="U16" s="46"/>
      <c r="V16" s="4"/>
      <c r="W16" s="4"/>
      <c r="X16" s="4"/>
      <c r="Z16" s="46"/>
      <c r="AA16" s="4"/>
      <c r="AB16" s="4"/>
      <c r="AC16" s="4"/>
      <c r="AE16" s="46"/>
      <c r="AF16" s="4"/>
      <c r="AG16" s="4"/>
      <c r="AH16" s="4"/>
      <c r="AI16" s="19"/>
      <c r="AJ16" s="34" t="s">
        <v>58</v>
      </c>
      <c r="AK16" s="7">
        <f>+BE11</f>
        <v>0</v>
      </c>
      <c r="AM16" s="15"/>
      <c r="AN16" s="15">
        <f>N15</f>
        <v>-400</v>
      </c>
      <c r="AO16" s="9">
        <f t="shared" si="10"/>
        <v>125728</v>
      </c>
      <c r="AQ16" s="15"/>
      <c r="AR16" s="15">
        <f>S6</f>
        <v>-430.5</v>
      </c>
      <c r="AS16" s="9">
        <f t="shared" ref="AS16:AS19" si="12">AS15+SUM(AQ16:AR16)</f>
        <v>1740.27</v>
      </c>
      <c r="AU16" s="15"/>
      <c r="AV16" s="15"/>
      <c r="AW16" s="56">
        <f>+AW15+SUM(AU16:AV16)</f>
        <v>12000</v>
      </c>
      <c r="AY16" s="15">
        <f>R26</f>
        <v>15000</v>
      </c>
      <c r="AZ16" s="15"/>
      <c r="BA16" s="57">
        <f t="shared" ref="BA16:BA25" si="13">+BA15+SUM(AY16:AZ16)</f>
        <v>0</v>
      </c>
      <c r="BC16" s="15"/>
      <c r="BD16" s="15">
        <f>S30</f>
        <v>-1044</v>
      </c>
      <c r="BE16" s="57">
        <f>+BE15+SUM(BC16:BD16)</f>
        <v>-1044</v>
      </c>
      <c r="BK16" s="15"/>
      <c r="BL16" s="15"/>
      <c r="BM16" s="3">
        <f t="shared" si="7"/>
        <v>-508</v>
      </c>
      <c r="BO16" s="76"/>
      <c r="BP16" s="76"/>
      <c r="BQ16" s="2">
        <f t="shared" ref="BQ16:BQ17" si="14">+BQ15+SUM(BO16:BP16)</f>
        <v>0</v>
      </c>
      <c r="BS16" s="76">
        <f>R33</f>
        <v>800</v>
      </c>
      <c r="BT16" s="76"/>
      <c r="BU16" s="2">
        <f t="shared" ref="BU16:BU19" si="15">+BU15+SUM(BS16:BT16)</f>
        <v>5383</v>
      </c>
      <c r="BW16" s="12"/>
      <c r="BX16" s="12"/>
      <c r="BY16" s="12"/>
      <c r="BZ16" s="32"/>
      <c r="CA16" s="12"/>
      <c r="CB16" s="12"/>
      <c r="CC16" s="12"/>
      <c r="CH16" s="111"/>
      <c r="CI16" s="111"/>
      <c r="CL16" s="111"/>
      <c r="CM16" s="111"/>
      <c r="CP16" s="111"/>
      <c r="CR16" s="65"/>
      <c r="CS16" s="65"/>
      <c r="CT16" s="28">
        <f>+CT15+SUM(CR16:CS16)</f>
        <v>0</v>
      </c>
      <c r="CV16" s="65"/>
      <c r="CW16" s="65"/>
      <c r="CX16" s="28">
        <f t="shared" ref="CX16:CX17" si="16">+CX15+SUM(CV16:CW16)</f>
        <v>0</v>
      </c>
    </row>
    <row r="17" spans="1:117" ht="16.5" customHeight="1" thickBot="1" x14ac:dyDescent="0.3">
      <c r="A17" s="64"/>
      <c r="B17" s="116" t="s">
        <v>56</v>
      </c>
      <c r="C17" s="4"/>
      <c r="D17" s="4">
        <v>-22000</v>
      </c>
      <c r="F17" s="46"/>
      <c r="G17" s="116" t="s">
        <v>40</v>
      </c>
      <c r="H17" s="4"/>
      <c r="I17" s="4">
        <v>-304</v>
      </c>
      <c r="K17" s="46">
        <v>42760</v>
      </c>
      <c r="L17" s="4" t="s">
        <v>40</v>
      </c>
      <c r="M17" s="4">
        <f>-N18</f>
        <v>598</v>
      </c>
      <c r="N17" s="4"/>
      <c r="P17" s="46">
        <v>42763</v>
      </c>
      <c r="Q17" s="4" t="s">
        <v>51</v>
      </c>
      <c r="R17" s="4">
        <f>-S18</f>
        <v>500</v>
      </c>
      <c r="S17" s="4"/>
      <c r="U17" s="46"/>
      <c r="V17" s="4"/>
      <c r="W17" s="4"/>
      <c r="X17" s="4"/>
      <c r="Z17" s="46"/>
      <c r="AA17" s="4"/>
      <c r="AB17" s="4"/>
      <c r="AC17" s="4"/>
      <c r="AE17" s="46"/>
      <c r="AF17" s="4"/>
      <c r="AG17" s="4"/>
      <c r="AH17" s="4"/>
      <c r="AI17" s="19"/>
      <c r="AJ17" s="34" t="s">
        <v>59</v>
      </c>
      <c r="AK17" s="7">
        <f>+BE20</f>
        <v>-1598</v>
      </c>
      <c r="AM17" s="15"/>
      <c r="AN17" s="15">
        <f>N18</f>
        <v>-598</v>
      </c>
      <c r="AO17" s="9">
        <f t="shared" si="10"/>
        <v>125130</v>
      </c>
      <c r="AQ17" s="15"/>
      <c r="AR17" s="15">
        <f>S9</f>
        <v>-525</v>
      </c>
      <c r="AS17" s="9">
        <f t="shared" si="12"/>
        <v>1215.27</v>
      </c>
      <c r="AU17" s="15"/>
      <c r="AV17" s="15"/>
      <c r="AW17" s="56">
        <f>+AW16+SUM(AU17:AV17)</f>
        <v>12000</v>
      </c>
      <c r="AY17" s="15"/>
      <c r="AZ17" s="15"/>
      <c r="BA17" s="57">
        <f t="shared" si="13"/>
        <v>0</v>
      </c>
      <c r="BC17" s="15"/>
      <c r="BD17" s="15">
        <f>S34</f>
        <v>-170</v>
      </c>
      <c r="BE17" s="57">
        <f t="shared" ref="BE17:BE20" si="17">+BE16+SUM(BC17:BD17)</f>
        <v>-1214</v>
      </c>
      <c r="BG17" s="59" t="str">
        <f>+AJ22</f>
        <v>Owners Equity</v>
      </c>
      <c r="BH17" s="60"/>
      <c r="BI17" s="61"/>
      <c r="BK17" s="15"/>
      <c r="BL17" s="15"/>
      <c r="BM17" s="3">
        <f t="shared" si="7"/>
        <v>-508</v>
      </c>
      <c r="BO17" s="15"/>
      <c r="BP17" s="15"/>
      <c r="BQ17" s="2">
        <f t="shared" si="14"/>
        <v>0</v>
      </c>
      <c r="BS17" s="15">
        <f>R37</f>
        <v>384</v>
      </c>
      <c r="BT17" s="15"/>
      <c r="BU17" s="2">
        <f t="shared" si="15"/>
        <v>5767</v>
      </c>
      <c r="BW17" s="12" t="s">
        <v>31</v>
      </c>
      <c r="BX17" s="12"/>
      <c r="BY17" s="32">
        <f>SUM(BY10:BY14)</f>
        <v>218801.77000000002</v>
      </c>
      <c r="BZ17" s="32"/>
      <c r="CA17" s="12" t="s">
        <v>68</v>
      </c>
      <c r="CB17" s="12"/>
      <c r="CC17" s="32">
        <f>+SUM(CC13:CC16)</f>
        <v>218801.77</v>
      </c>
      <c r="CE17" s="100" t="s">
        <v>89</v>
      </c>
      <c r="CF17" s="254" t="s">
        <v>81</v>
      </c>
      <c r="CG17" s="255"/>
      <c r="CH17" s="256"/>
      <c r="CI17" s="103"/>
      <c r="CJ17" s="257" t="s">
        <v>82</v>
      </c>
      <c r="CK17" s="258"/>
      <c r="CL17" s="259"/>
      <c r="CM17" s="103"/>
      <c r="CN17" s="260" t="s">
        <v>83</v>
      </c>
      <c r="CO17" s="261"/>
      <c r="CP17" s="262"/>
      <c r="CV17" s="65"/>
      <c r="CW17" s="65"/>
      <c r="CX17" s="28">
        <f t="shared" si="16"/>
        <v>0</v>
      </c>
    </row>
    <row r="18" spans="1:117" ht="16.5" thickBot="1" x14ac:dyDescent="0.3">
      <c r="A18" s="64"/>
      <c r="B18" s="116" t="s">
        <v>44</v>
      </c>
      <c r="C18" s="4"/>
      <c r="D18" s="4">
        <f>-SUM(C14:D17)</f>
        <v>-77000</v>
      </c>
      <c r="F18" s="46"/>
      <c r="G18" s="4"/>
      <c r="H18" s="4"/>
      <c r="I18" s="4"/>
      <c r="K18" s="46"/>
      <c r="L18" s="116" t="s">
        <v>39</v>
      </c>
      <c r="M18" s="4"/>
      <c r="N18" s="4">
        <v>-598</v>
      </c>
      <c r="P18" s="46"/>
      <c r="Q18" s="116" t="s">
        <v>39</v>
      </c>
      <c r="R18" s="4"/>
      <c r="S18" s="4">
        <v>-500</v>
      </c>
      <c r="U18" s="46"/>
      <c r="V18" s="4"/>
      <c r="W18" s="4"/>
      <c r="X18" s="4"/>
      <c r="Z18" s="46"/>
      <c r="AA18" s="4"/>
      <c r="AB18" s="4"/>
      <c r="AC18" s="4"/>
      <c r="AE18" s="46"/>
      <c r="AF18" s="4"/>
      <c r="AG18" s="4"/>
      <c r="AH18" s="4"/>
      <c r="AI18" s="19"/>
      <c r="AJ18" s="34" t="s">
        <v>61</v>
      </c>
      <c r="AK18" s="7">
        <f>+BE31</f>
        <v>-123.37</v>
      </c>
      <c r="AM18" s="15">
        <f>R11</f>
        <v>956</v>
      </c>
      <c r="AN18" s="15"/>
      <c r="AO18" s="9">
        <f t="shared" si="10"/>
        <v>126086</v>
      </c>
      <c r="AQ18" s="15"/>
      <c r="AR18" s="15"/>
      <c r="AS18" s="9">
        <f t="shared" si="12"/>
        <v>1215.27</v>
      </c>
      <c r="AY18" s="15"/>
      <c r="AZ18" s="15"/>
      <c r="BA18" s="57">
        <f t="shared" si="13"/>
        <v>0</v>
      </c>
      <c r="BC18" s="15"/>
      <c r="BD18" s="15">
        <f>S38</f>
        <v>-384</v>
      </c>
      <c r="BE18" s="57">
        <f t="shared" si="17"/>
        <v>-1598</v>
      </c>
      <c r="BG18" s="54" t="s">
        <v>6</v>
      </c>
      <c r="BH18" s="54" t="s">
        <v>7</v>
      </c>
      <c r="BI18" s="55" t="s">
        <v>4</v>
      </c>
      <c r="BK18" s="16"/>
      <c r="BL18" s="16"/>
      <c r="BM18" s="16"/>
      <c r="BO18" s="22"/>
      <c r="BP18" s="22"/>
      <c r="BQ18" s="22"/>
      <c r="BS18" s="15"/>
      <c r="BT18" s="15"/>
      <c r="BU18" s="2">
        <f t="shared" si="15"/>
        <v>5767</v>
      </c>
      <c r="CE18" s="92"/>
      <c r="CF18" s="95"/>
      <c r="CG18" s="95" t="s">
        <v>84</v>
      </c>
      <c r="CH18" s="112" t="s">
        <v>85</v>
      </c>
      <c r="CI18" s="103"/>
      <c r="CJ18" s="95"/>
      <c r="CK18" s="95" t="s">
        <v>84</v>
      </c>
      <c r="CL18" s="112" t="s">
        <v>85</v>
      </c>
      <c r="CM18" s="103"/>
      <c r="CN18" s="95"/>
      <c r="CO18" s="112" t="s">
        <v>84</v>
      </c>
      <c r="CP18" s="112" t="s">
        <v>85</v>
      </c>
      <c r="CR18" s="37" t="s">
        <v>104</v>
      </c>
      <c r="CS18" s="120"/>
      <c r="CT18" s="121"/>
      <c r="CV18" s="37" t="s">
        <v>103</v>
      </c>
      <c r="CW18" s="120"/>
      <c r="CX18" s="121"/>
    </row>
    <row r="19" spans="1:117" ht="16.149999999999999" customHeight="1" thickBot="1" x14ac:dyDescent="0.35">
      <c r="A19" s="64"/>
      <c r="B19" s="4"/>
      <c r="C19" s="4"/>
      <c r="D19" s="4"/>
      <c r="F19" s="46">
        <v>42747</v>
      </c>
      <c r="G19" s="4" t="s">
        <v>101</v>
      </c>
      <c r="H19" s="4">
        <v>5000</v>
      </c>
      <c r="I19" s="4"/>
      <c r="K19" s="46"/>
      <c r="L19" s="4"/>
      <c r="M19" s="4"/>
      <c r="N19" s="4"/>
      <c r="P19" s="46"/>
      <c r="Q19" s="4"/>
      <c r="R19" s="4"/>
      <c r="S19" s="4"/>
      <c r="U19" s="46"/>
      <c r="V19" s="4"/>
      <c r="W19" s="4"/>
      <c r="X19" s="4"/>
      <c r="Z19" s="46"/>
      <c r="AA19" s="4"/>
      <c r="AB19" s="4"/>
      <c r="AC19" s="4"/>
      <c r="AE19" s="46"/>
      <c r="AF19" s="4"/>
      <c r="AG19" s="4"/>
      <c r="AH19" s="4"/>
      <c r="AI19" s="19"/>
      <c r="AJ19" s="34" t="s">
        <v>32</v>
      </c>
      <c r="AK19" s="7">
        <f>+BE37</f>
        <v>0</v>
      </c>
      <c r="AM19" s="15"/>
      <c r="AN19" s="15">
        <f>S15</f>
        <v>-11000</v>
      </c>
      <c r="AO19" s="9">
        <f t="shared" si="10"/>
        <v>115086</v>
      </c>
      <c r="AQ19" s="15"/>
      <c r="AR19" s="15"/>
      <c r="AS19" s="9">
        <f t="shared" si="12"/>
        <v>1215.27</v>
      </c>
      <c r="AU19" s="37" t="str">
        <f>+AJ10</f>
        <v>Undeposited Funds</v>
      </c>
      <c r="AV19" s="37"/>
      <c r="AW19" s="40"/>
      <c r="AY19" s="15"/>
      <c r="AZ19" s="15"/>
      <c r="BA19" s="57">
        <f t="shared" si="13"/>
        <v>0</v>
      </c>
      <c r="BC19" s="15"/>
      <c r="BD19" s="15"/>
      <c r="BE19" s="57">
        <f t="shared" si="17"/>
        <v>-1598</v>
      </c>
      <c r="BG19" s="1" t="s">
        <v>15</v>
      </c>
      <c r="BH19" s="9"/>
      <c r="BI19" s="2">
        <v>0</v>
      </c>
      <c r="BK19" s="48" t="str">
        <f>+AJ26</f>
        <v>Cost of Goods Sold</v>
      </c>
      <c r="BL19" s="49"/>
      <c r="BM19" s="50"/>
      <c r="BO19" s="48" t="str">
        <f>+AJ30</f>
        <v>Interest Expense</v>
      </c>
      <c r="BP19" s="49"/>
      <c r="BQ19" s="50"/>
      <c r="BS19" s="15"/>
      <c r="BT19" s="15"/>
      <c r="BU19" s="2">
        <f t="shared" si="15"/>
        <v>5767</v>
      </c>
      <c r="BW19" s="80" t="s">
        <v>22</v>
      </c>
      <c r="BX19" s="80"/>
      <c r="BY19" s="80"/>
      <c r="CE19" s="93" t="s">
        <v>27</v>
      </c>
      <c r="CF19" s="96" t="s">
        <v>86</v>
      </c>
      <c r="CG19" s="96" t="s">
        <v>87</v>
      </c>
      <c r="CH19" s="113" t="s">
        <v>87</v>
      </c>
      <c r="CI19" s="103"/>
      <c r="CJ19" s="96" t="s">
        <v>86</v>
      </c>
      <c r="CK19" s="96" t="s">
        <v>87</v>
      </c>
      <c r="CL19" s="113" t="s">
        <v>87</v>
      </c>
      <c r="CM19" s="103"/>
      <c r="CN19" s="96" t="s">
        <v>86</v>
      </c>
      <c r="CO19" s="113" t="s">
        <v>87</v>
      </c>
      <c r="CP19" s="113" t="s">
        <v>87</v>
      </c>
      <c r="CR19" s="122" t="s">
        <v>6</v>
      </c>
      <c r="CS19" s="123" t="s">
        <v>7</v>
      </c>
      <c r="CT19" s="124" t="s">
        <v>4</v>
      </c>
      <c r="CV19" s="122" t="s">
        <v>6</v>
      </c>
      <c r="CW19" s="123" t="s">
        <v>7</v>
      </c>
      <c r="CX19" s="124" t="s">
        <v>4</v>
      </c>
    </row>
    <row r="20" spans="1:117" ht="16.5" thickBot="1" x14ac:dyDescent="0.3">
      <c r="A20" s="64">
        <v>42745</v>
      </c>
      <c r="B20" s="4" t="s">
        <v>39</v>
      </c>
      <c r="C20" s="4">
        <v>65000</v>
      </c>
      <c r="D20" s="4"/>
      <c r="F20" s="46"/>
      <c r="G20" s="116" t="s">
        <v>1</v>
      </c>
      <c r="H20" s="4"/>
      <c r="I20" s="4">
        <v>-5000</v>
      </c>
      <c r="K20" s="46">
        <v>42760</v>
      </c>
      <c r="L20" s="4" t="s">
        <v>1</v>
      </c>
      <c r="M20" s="4">
        <f>500*1.05</f>
        <v>525</v>
      </c>
      <c r="N20" s="4"/>
      <c r="P20" s="46">
        <v>42763</v>
      </c>
      <c r="Q20" s="4" t="s">
        <v>54</v>
      </c>
      <c r="R20" s="4">
        <f>-S21</f>
        <v>620</v>
      </c>
      <c r="S20" s="4"/>
      <c r="U20" s="46"/>
      <c r="V20" s="4"/>
      <c r="W20" s="4"/>
      <c r="X20" s="4"/>
      <c r="Z20" s="46"/>
      <c r="AA20" s="4"/>
      <c r="AB20" s="4"/>
      <c r="AC20" s="4"/>
      <c r="AE20" s="46"/>
      <c r="AF20" s="4"/>
      <c r="AG20" s="4"/>
      <c r="AH20" s="4"/>
      <c r="AI20" s="19"/>
      <c r="AJ20" s="34" t="s">
        <v>56</v>
      </c>
      <c r="AK20" s="7">
        <f>+BI10</f>
        <v>-72000</v>
      </c>
      <c r="AM20" s="15"/>
      <c r="AN20" s="15">
        <f>S18</f>
        <v>-500</v>
      </c>
      <c r="AO20" s="9">
        <f t="shared" si="10"/>
        <v>114586</v>
      </c>
      <c r="AQ20" s="16"/>
      <c r="AR20" s="16"/>
      <c r="AS20" s="16"/>
      <c r="AU20" s="18" t="s">
        <v>6</v>
      </c>
      <c r="AV20" s="18" t="s">
        <v>7</v>
      </c>
      <c r="AW20" s="53" t="s">
        <v>4</v>
      </c>
      <c r="AY20" s="15"/>
      <c r="AZ20" s="15"/>
      <c r="BA20" s="57">
        <f t="shared" si="13"/>
        <v>0</v>
      </c>
      <c r="BC20" s="15"/>
      <c r="BD20" s="15"/>
      <c r="BE20" s="57">
        <f t="shared" si="17"/>
        <v>-1598</v>
      </c>
      <c r="BG20" s="15"/>
      <c r="BH20" s="15">
        <f>D6</f>
        <v>-2897</v>
      </c>
      <c r="BI20" s="2">
        <f>+BI19+SUM(BG20:BH20)</f>
        <v>-2897</v>
      </c>
      <c r="BK20" s="54" t="s">
        <v>6</v>
      </c>
      <c r="BL20" s="54" t="s">
        <v>7</v>
      </c>
      <c r="BM20" s="55" t="s">
        <v>4</v>
      </c>
      <c r="BO20" s="54" t="s">
        <v>6</v>
      </c>
      <c r="BP20" s="54" t="s">
        <v>7</v>
      </c>
      <c r="BQ20" s="55" t="s">
        <v>4</v>
      </c>
      <c r="BS20" s="16"/>
      <c r="BT20" s="16"/>
      <c r="BU20" s="16"/>
      <c r="BW20" s="12" t="s">
        <v>34</v>
      </c>
      <c r="BX20" s="12"/>
      <c r="BY20" s="12"/>
      <c r="CE20" s="91">
        <v>42736</v>
      </c>
      <c r="CF20" s="94"/>
      <c r="CG20" s="97"/>
      <c r="CH20" s="102"/>
      <c r="CI20" s="103"/>
      <c r="CJ20" s="98"/>
      <c r="CK20" s="97"/>
      <c r="CL20" s="104"/>
      <c r="CM20" s="103">
        <v>1</v>
      </c>
      <c r="CN20" s="99">
        <v>1</v>
      </c>
      <c r="CO20" s="101">
        <v>480</v>
      </c>
      <c r="CP20" s="101">
        <f>CN20*CO20</f>
        <v>480</v>
      </c>
      <c r="CR20" s="28" t="s">
        <v>15</v>
      </c>
      <c r="CS20" s="28"/>
      <c r="CT20" s="28">
        <v>0</v>
      </c>
      <c r="CV20" s="28" t="s">
        <v>15</v>
      </c>
      <c r="CW20" s="28"/>
      <c r="CX20" s="28">
        <v>0</v>
      </c>
    </row>
    <row r="21" spans="1:117" ht="16.5" thickBot="1" x14ac:dyDescent="0.3">
      <c r="A21" s="64"/>
      <c r="B21" s="116" t="s">
        <v>44</v>
      </c>
      <c r="C21" s="4"/>
      <c r="D21" s="4">
        <v>-65000</v>
      </c>
      <c r="F21" s="46"/>
      <c r="G21" s="4"/>
      <c r="H21" s="4"/>
      <c r="I21" s="4"/>
      <c r="K21" s="46"/>
      <c r="L21" s="116" t="s">
        <v>45</v>
      </c>
      <c r="M21" s="4"/>
      <c r="N21" s="4">
        <v>-500</v>
      </c>
      <c r="P21" s="46"/>
      <c r="Q21" s="116" t="s">
        <v>39</v>
      </c>
      <c r="R21" s="4"/>
      <c r="S21" s="4">
        <v>-620</v>
      </c>
      <c r="U21" s="46"/>
      <c r="V21" s="4"/>
      <c r="W21" s="4"/>
      <c r="X21" s="4"/>
      <c r="Z21" s="46"/>
      <c r="AA21" s="4"/>
      <c r="AB21" s="4"/>
      <c r="AC21" s="4"/>
      <c r="AE21" s="46"/>
      <c r="AF21" s="4"/>
      <c r="AG21" s="4"/>
      <c r="AH21" s="4"/>
      <c r="AI21" s="19"/>
      <c r="AJ21" s="35" t="s">
        <v>43</v>
      </c>
      <c r="AK21" s="8">
        <f>+BI15</f>
        <v>0</v>
      </c>
      <c r="AM21" s="15"/>
      <c r="AN21" s="15">
        <f>S21</f>
        <v>-620</v>
      </c>
      <c r="AO21" s="9">
        <f t="shared" si="10"/>
        <v>113966</v>
      </c>
      <c r="AQ21" s="37" t="str">
        <f>AJ7</f>
        <v>Inventory Asset</v>
      </c>
      <c r="AR21" s="37"/>
      <c r="AS21" s="40"/>
      <c r="AU21" s="9" t="s">
        <v>15</v>
      </c>
      <c r="AV21" s="9"/>
      <c r="AW21" s="56">
        <v>0</v>
      </c>
      <c r="AY21" s="15"/>
      <c r="AZ21" s="15"/>
      <c r="BA21" s="57">
        <f t="shared" si="13"/>
        <v>0</v>
      </c>
      <c r="BC21" s="16"/>
      <c r="BD21" s="16"/>
      <c r="BE21" s="16"/>
      <c r="BG21" s="15"/>
      <c r="BH21" s="15">
        <f>D9</f>
        <v>-20500</v>
      </c>
      <c r="BI21" s="2">
        <f>+BI20+SUM(BG21:BH21)</f>
        <v>-23397</v>
      </c>
      <c r="BK21" s="1" t="s">
        <v>15</v>
      </c>
      <c r="BL21" s="2"/>
      <c r="BM21" s="2">
        <v>0</v>
      </c>
      <c r="BO21" s="1" t="s">
        <v>15</v>
      </c>
      <c r="BP21" s="2"/>
      <c r="BQ21" s="2">
        <v>0</v>
      </c>
      <c r="BS21" s="48" t="str">
        <f>+AJ35</f>
        <v>Telephone Expense</v>
      </c>
      <c r="BT21" s="49"/>
      <c r="BU21" s="50"/>
      <c r="BW21" s="29" t="str">
        <f>+AJ23</f>
        <v>Merchandise Sales</v>
      </c>
      <c r="BX21" s="12">
        <f>-AK23</f>
        <v>2467.4</v>
      </c>
      <c r="BY21" s="12"/>
      <c r="CE21" s="82"/>
      <c r="CF21" s="83"/>
      <c r="CG21" s="84"/>
      <c r="CH21" s="106"/>
      <c r="CI21" s="103"/>
      <c r="CJ21" s="85"/>
      <c r="CK21" s="84"/>
      <c r="CL21" s="107"/>
      <c r="CM21" s="103"/>
      <c r="CN21" s="86"/>
      <c r="CO21" s="105"/>
      <c r="CP21" s="105"/>
      <c r="CR21" s="65">
        <f>M27</f>
        <v>816.27</v>
      </c>
      <c r="CS21" s="65"/>
      <c r="CT21" s="28">
        <f>+CT20+SUM(CR21:CS21)</f>
        <v>816.27</v>
      </c>
      <c r="CV21" s="65">
        <f>M20</f>
        <v>525</v>
      </c>
      <c r="CW21" s="65"/>
      <c r="CX21" s="28">
        <f>+CX20+SUM(CV21:CW21)</f>
        <v>525</v>
      </c>
    </row>
    <row r="22" spans="1:117" ht="16.5" thickBot="1" x14ac:dyDescent="0.3">
      <c r="A22" s="64"/>
      <c r="B22" s="4"/>
      <c r="C22" s="4"/>
      <c r="D22" s="4"/>
      <c r="F22" s="46">
        <v>42747</v>
      </c>
      <c r="G22" s="4" t="s">
        <v>101</v>
      </c>
      <c r="H22" s="4">
        <v>7500</v>
      </c>
      <c r="I22" s="4"/>
      <c r="K22" s="46"/>
      <c r="L22" s="116" t="s">
        <v>61</v>
      </c>
      <c r="M22" s="4"/>
      <c r="N22" s="4">
        <f>-SUM(M20:N21)</f>
        <v>-25</v>
      </c>
      <c r="P22" s="46"/>
      <c r="Q22" s="4"/>
      <c r="R22" s="4"/>
      <c r="S22" s="4"/>
      <c r="U22" s="46"/>
      <c r="V22" s="4"/>
      <c r="W22" s="4"/>
      <c r="X22" s="4"/>
      <c r="Z22" s="46"/>
      <c r="AA22" s="4"/>
      <c r="AB22" s="4"/>
      <c r="AC22" s="4"/>
      <c r="AE22" s="46"/>
      <c r="AF22" s="4"/>
      <c r="AG22" s="4"/>
      <c r="AH22" s="4"/>
      <c r="AI22" s="19"/>
      <c r="AJ22" s="35" t="s">
        <v>44</v>
      </c>
      <c r="AK22" s="8">
        <f>+BI24</f>
        <v>-150397</v>
      </c>
      <c r="AM22" s="15"/>
      <c r="AN22" s="15">
        <f>S24</f>
        <v>-360</v>
      </c>
      <c r="AO22" s="9">
        <f t="shared" si="10"/>
        <v>113606</v>
      </c>
      <c r="AQ22" s="18" t="s">
        <v>6</v>
      </c>
      <c r="AR22" s="18" t="s">
        <v>7</v>
      </c>
      <c r="AS22" s="18" t="s">
        <v>4</v>
      </c>
      <c r="AU22" s="15">
        <f>H19</f>
        <v>5000</v>
      </c>
      <c r="AV22" s="15"/>
      <c r="AW22" s="56">
        <f>+AW21+SUM(AU22:AV22)</f>
        <v>5000</v>
      </c>
      <c r="AY22" s="15"/>
      <c r="AZ22" s="15"/>
      <c r="BA22" s="57">
        <f t="shared" si="13"/>
        <v>0</v>
      </c>
      <c r="BC22" s="38" t="str">
        <f>+AJ18</f>
        <v>Sales Tax Payable</v>
      </c>
      <c r="BD22" s="38"/>
      <c r="BE22" s="39"/>
      <c r="BG22" s="15">
        <f>C11</f>
        <v>15000</v>
      </c>
      <c r="BH22" s="15"/>
      <c r="BI22" s="2">
        <f>+BI21+SUM(BG22:BH22)</f>
        <v>-8397</v>
      </c>
      <c r="BK22" s="15">
        <f>H9</f>
        <v>328</v>
      </c>
      <c r="BL22" s="15"/>
      <c r="BM22" s="2">
        <f>+BM21+SUM(BK22:BL22)</f>
        <v>328</v>
      </c>
      <c r="BO22" s="15"/>
      <c r="BP22" s="15"/>
      <c r="BQ22" s="2">
        <f>+BQ21+SUM(BO22:BP22)</f>
        <v>0</v>
      </c>
      <c r="BS22" s="54" t="s">
        <v>6</v>
      </c>
      <c r="BT22" s="54" t="s">
        <v>7</v>
      </c>
      <c r="BU22" s="55" t="s">
        <v>4</v>
      </c>
      <c r="BW22" s="29" t="str">
        <f>+AJ24</f>
        <v>Rent Music Equipment</v>
      </c>
      <c r="BX22" s="12">
        <f>-AK24</f>
        <v>0</v>
      </c>
      <c r="BY22" s="12"/>
      <c r="BZ22" s="20"/>
      <c r="CA22" s="20"/>
      <c r="CB22" s="20"/>
      <c r="CC22" s="20"/>
      <c r="CD22" s="20"/>
      <c r="CE22" s="82"/>
      <c r="CF22" s="83"/>
      <c r="CG22" s="84"/>
      <c r="CH22" s="106"/>
      <c r="CI22" s="103"/>
      <c r="CJ22" s="85"/>
      <c r="CK22" s="84"/>
      <c r="CL22" s="107"/>
      <c r="CM22" s="103"/>
      <c r="CN22" s="86"/>
      <c r="CO22" s="105"/>
      <c r="CP22" s="105"/>
      <c r="CQ22" s="19"/>
      <c r="CR22" s="65"/>
      <c r="CS22" s="65"/>
      <c r="CT22" s="28">
        <f>+CT21+SUM(CR22:CS22)</f>
        <v>816.27</v>
      </c>
      <c r="CU22" s="27"/>
      <c r="CV22" s="65"/>
      <c r="CW22" s="65">
        <f>S9</f>
        <v>-525</v>
      </c>
      <c r="CX22" s="28">
        <f>+CX21+SUM(CV22:CW22)</f>
        <v>0</v>
      </c>
    </row>
    <row r="23" spans="1:117" ht="15.75" x14ac:dyDescent="0.25">
      <c r="A23" s="64">
        <v>42745</v>
      </c>
      <c r="B23" s="4" t="s">
        <v>39</v>
      </c>
      <c r="C23" s="4">
        <v>50000</v>
      </c>
      <c r="D23" s="4"/>
      <c r="F23" s="46"/>
      <c r="G23" s="116" t="s">
        <v>1</v>
      </c>
      <c r="H23" s="4"/>
      <c r="I23" s="4">
        <f>-H22</f>
        <v>-7500</v>
      </c>
      <c r="K23" s="46"/>
      <c r="L23" s="4"/>
      <c r="M23" s="4"/>
      <c r="N23" s="4"/>
      <c r="P23" s="46">
        <v>42763</v>
      </c>
      <c r="Q23" s="4" t="s">
        <v>53</v>
      </c>
      <c r="R23" s="4">
        <f>-S24</f>
        <v>360</v>
      </c>
      <c r="S23" s="4"/>
      <c r="U23" s="46"/>
      <c r="V23" s="4"/>
      <c r="W23" s="4"/>
      <c r="X23" s="4"/>
      <c r="Z23" s="46"/>
      <c r="AA23" s="4"/>
      <c r="AB23" s="4"/>
      <c r="AC23" s="4"/>
      <c r="AE23" s="46"/>
      <c r="AF23" s="4"/>
      <c r="AG23" s="4"/>
      <c r="AH23" s="4"/>
      <c r="AI23" s="19"/>
      <c r="AJ23" s="36" t="s">
        <v>45</v>
      </c>
      <c r="AK23" s="11">
        <f>+BI35</f>
        <v>-2467.4</v>
      </c>
      <c r="AM23" s="15"/>
      <c r="AN23" s="15">
        <f>S27</f>
        <v>-15000</v>
      </c>
      <c r="AO23" s="9">
        <f t="shared" si="10"/>
        <v>98606</v>
      </c>
      <c r="AQ23" s="9" t="s">
        <v>15</v>
      </c>
      <c r="AR23" s="9"/>
      <c r="AS23" s="9">
        <v>0</v>
      </c>
      <c r="AU23" s="15">
        <f>+H22</f>
        <v>7500</v>
      </c>
      <c r="AV23" s="15"/>
      <c r="AW23" s="56">
        <f>+AW22+SUM(AU23:AV23)</f>
        <v>12500</v>
      </c>
      <c r="AY23" s="15"/>
      <c r="AZ23" s="15"/>
      <c r="BA23" s="57">
        <f t="shared" si="13"/>
        <v>0</v>
      </c>
      <c r="BC23" s="18" t="s">
        <v>6</v>
      </c>
      <c r="BD23" s="18" t="s">
        <v>7</v>
      </c>
      <c r="BE23" s="53" t="s">
        <v>4</v>
      </c>
      <c r="BG23" s="15"/>
      <c r="BH23" s="15">
        <f>D18</f>
        <v>-77000</v>
      </c>
      <c r="BI23" s="2">
        <f>+BI22+SUM(BG23:BH23)</f>
        <v>-85397</v>
      </c>
      <c r="BK23" s="76">
        <f>H16</f>
        <v>304</v>
      </c>
      <c r="BL23" s="76"/>
      <c r="BM23" s="2">
        <f t="shared" ref="BM23:BM34" si="18">+BM22+SUM(BK23:BL23)</f>
        <v>632</v>
      </c>
      <c r="BO23" s="76"/>
      <c r="BP23" s="76"/>
      <c r="BQ23" s="2">
        <f t="shared" ref="BQ23:BQ24" si="19">+BQ22+SUM(BO23:BP23)</f>
        <v>0</v>
      </c>
      <c r="BS23" s="1" t="s">
        <v>15</v>
      </c>
      <c r="BT23" s="2"/>
      <c r="BU23" s="2">
        <v>0</v>
      </c>
      <c r="BW23" s="29" t="str">
        <f>+AJ25</f>
        <v>Service</v>
      </c>
      <c r="BX23" s="31">
        <f>-AK25</f>
        <v>508</v>
      </c>
      <c r="BY23" s="12"/>
      <c r="BZ23" s="20"/>
      <c r="CA23" s="20"/>
      <c r="CB23" s="20"/>
      <c r="CC23" s="20"/>
      <c r="CD23" s="20"/>
      <c r="CE23" s="82"/>
      <c r="CF23" s="83"/>
      <c r="CG23" s="84"/>
      <c r="CH23" s="106"/>
      <c r="CI23" s="103"/>
      <c r="CJ23" s="85"/>
      <c r="CK23" s="84"/>
      <c r="CL23" s="107"/>
      <c r="CM23" s="103"/>
      <c r="CN23" s="86"/>
      <c r="CO23" s="105"/>
      <c r="CP23" s="105"/>
      <c r="CQ23" s="19"/>
      <c r="CR23" s="65"/>
      <c r="CS23" s="65"/>
      <c r="CT23" s="28">
        <f>+CT22+SUM(CR23:CS23)</f>
        <v>816.27</v>
      </c>
      <c r="CV23" s="65"/>
      <c r="CW23" s="65"/>
      <c r="CX23" s="28">
        <f>+CX22+SUM(CV23:CW23)</f>
        <v>0</v>
      </c>
    </row>
    <row r="24" spans="1:117" ht="16.5" thickBot="1" x14ac:dyDescent="0.3">
      <c r="A24" s="64"/>
      <c r="B24" s="116" t="s">
        <v>56</v>
      </c>
      <c r="C24" s="4"/>
      <c r="D24" s="4">
        <v>-50000</v>
      </c>
      <c r="F24" s="46"/>
      <c r="G24" s="4"/>
      <c r="H24" s="4"/>
      <c r="I24" s="4"/>
      <c r="K24" s="46">
        <v>42760</v>
      </c>
      <c r="L24" s="4" t="s">
        <v>47</v>
      </c>
      <c r="M24" s="4">
        <f>-N25</f>
        <v>400</v>
      </c>
      <c r="N24" s="4"/>
      <c r="P24" s="46"/>
      <c r="Q24" s="116" t="s">
        <v>39</v>
      </c>
      <c r="R24" s="4"/>
      <c r="S24" s="4">
        <v>-360</v>
      </c>
      <c r="U24" s="46"/>
      <c r="V24" s="4"/>
      <c r="W24" s="4"/>
      <c r="X24" s="4"/>
      <c r="Z24" s="46"/>
      <c r="AA24" s="4"/>
      <c r="AB24" s="4"/>
      <c r="AC24" s="4"/>
      <c r="AE24" s="46"/>
      <c r="AF24" s="4"/>
      <c r="AG24" s="4"/>
      <c r="AH24" s="4"/>
      <c r="AI24" s="19"/>
      <c r="AJ24" s="36" t="s">
        <v>57</v>
      </c>
      <c r="AK24" s="11">
        <f>+BI40</f>
        <v>0</v>
      </c>
      <c r="AM24" s="15"/>
      <c r="AN24" s="15">
        <f>S31</f>
        <v>-3539</v>
      </c>
      <c r="AO24" s="9">
        <f t="shared" si="10"/>
        <v>95067</v>
      </c>
      <c r="AQ24" s="15">
        <f>C5</f>
        <v>2897</v>
      </c>
      <c r="AR24" s="15"/>
      <c r="AS24" s="9">
        <f>+AS23+SUM(AQ24:AR24)</f>
        <v>2897</v>
      </c>
      <c r="AT24" s="20"/>
      <c r="AU24" s="15">
        <f>H25</f>
        <v>8000</v>
      </c>
      <c r="AV24" s="15"/>
      <c r="AW24" s="56">
        <f t="shared" ref="AW24:AW32" si="20">+AW23+SUM(AU24:AV24)</f>
        <v>20500</v>
      </c>
      <c r="AY24" s="15"/>
      <c r="AZ24" s="15"/>
      <c r="BA24" s="57">
        <f t="shared" si="13"/>
        <v>0</v>
      </c>
      <c r="BC24" s="41" t="s">
        <v>15</v>
      </c>
      <c r="BD24" s="9"/>
      <c r="BE24" s="57">
        <v>0</v>
      </c>
      <c r="BG24" s="15"/>
      <c r="BH24" s="15">
        <f>D21</f>
        <v>-65000</v>
      </c>
      <c r="BI24" s="2">
        <f>+BI23+SUM(BG24:BH24)</f>
        <v>-150397</v>
      </c>
      <c r="BK24" s="76">
        <f>H32</f>
        <v>320</v>
      </c>
      <c r="BL24" s="76"/>
      <c r="BM24" s="2">
        <f t="shared" si="18"/>
        <v>952</v>
      </c>
      <c r="BO24" s="15"/>
      <c r="BP24" s="15"/>
      <c r="BQ24" s="2">
        <f t="shared" si="19"/>
        <v>0</v>
      </c>
      <c r="BS24" s="15">
        <f>R23</f>
        <v>360</v>
      </c>
      <c r="BT24" s="15"/>
      <c r="BU24" s="2">
        <f>+BU23+SUM(BS24:BT24)</f>
        <v>360</v>
      </c>
      <c r="BW24" s="30" t="s">
        <v>72</v>
      </c>
      <c r="BX24" s="12"/>
      <c r="BY24" s="12">
        <f>SUM(BX21:BX23)</f>
        <v>2975.4</v>
      </c>
      <c r="BZ24" s="20"/>
      <c r="CA24" s="20"/>
      <c r="CB24" s="20"/>
      <c r="CC24" s="20"/>
      <c r="CD24" s="20"/>
      <c r="CE24" s="82"/>
      <c r="CF24" s="83"/>
      <c r="CG24" s="84"/>
      <c r="CH24" s="106"/>
      <c r="CI24" s="103"/>
      <c r="CJ24" s="85"/>
      <c r="CK24" s="84"/>
      <c r="CL24" s="107"/>
      <c r="CM24" s="103"/>
      <c r="CN24" s="86"/>
      <c r="CO24" s="105"/>
      <c r="CP24" s="105"/>
      <c r="CQ24" s="19"/>
      <c r="CR24" s="27"/>
      <c r="CS24" s="27"/>
      <c r="CT24" s="27"/>
      <c r="CU24" s="27"/>
      <c r="CV24" s="27"/>
      <c r="CW24" s="27"/>
      <c r="CX24" s="27"/>
    </row>
    <row r="25" spans="1:117" s="71" customFormat="1" ht="16.5" thickBot="1" x14ac:dyDescent="0.3">
      <c r="A25" s="64"/>
      <c r="B25" s="4"/>
      <c r="C25" s="4"/>
      <c r="D25" s="4"/>
      <c r="E25" s="16"/>
      <c r="F25" s="46">
        <v>42747</v>
      </c>
      <c r="G25" s="4" t="s">
        <v>101</v>
      </c>
      <c r="H25" s="4">
        <v>8000</v>
      </c>
      <c r="I25" s="4"/>
      <c r="J25" s="16"/>
      <c r="K25" s="46"/>
      <c r="L25" s="116" t="s">
        <v>40</v>
      </c>
      <c r="M25" s="4"/>
      <c r="N25" s="4">
        <v>-400</v>
      </c>
      <c r="O25" s="16"/>
      <c r="P25" s="46"/>
      <c r="Q25" s="4"/>
      <c r="R25" s="4"/>
      <c r="S25" s="4"/>
      <c r="T25" s="16"/>
      <c r="U25" s="46"/>
      <c r="V25" s="4"/>
      <c r="W25" s="4"/>
      <c r="X25" s="4"/>
      <c r="Y25" s="16"/>
      <c r="Z25" s="46"/>
      <c r="AA25" s="4"/>
      <c r="AB25" s="4"/>
      <c r="AC25" s="4"/>
      <c r="AD25" s="16"/>
      <c r="AE25" s="46"/>
      <c r="AF25" s="4"/>
      <c r="AG25" s="4"/>
      <c r="AH25" s="4"/>
      <c r="AI25" s="19"/>
      <c r="AJ25" s="36" t="s">
        <v>46</v>
      </c>
      <c r="AK25" s="11">
        <f>+BM17</f>
        <v>-508</v>
      </c>
      <c r="AL25" s="17"/>
      <c r="AM25" s="15"/>
      <c r="AN25" s="15">
        <f>S35</f>
        <v>-630</v>
      </c>
      <c r="AO25" s="9">
        <f t="shared" si="10"/>
        <v>94437</v>
      </c>
      <c r="AP25" s="17"/>
      <c r="AQ25" s="15"/>
      <c r="AR25" s="15">
        <f>I10</f>
        <v>-328</v>
      </c>
      <c r="AS25" s="9">
        <f t="shared" ref="AS25:AS28" si="21">+AS24+SUM(AQ25:AR25)</f>
        <v>2569</v>
      </c>
      <c r="AT25" s="20"/>
      <c r="AU25" s="15">
        <f>H28</f>
        <v>420</v>
      </c>
      <c r="AV25" s="15"/>
      <c r="AW25" s="56">
        <f t="shared" si="20"/>
        <v>20920</v>
      </c>
      <c r="AX25" s="26"/>
      <c r="AY25" s="15"/>
      <c r="AZ25" s="15"/>
      <c r="BA25" s="57">
        <f t="shared" si="13"/>
        <v>0</v>
      </c>
      <c r="BB25" s="26"/>
      <c r="BC25" s="15"/>
      <c r="BD25" s="15">
        <f>I7</f>
        <v>-20.5</v>
      </c>
      <c r="BE25" s="57">
        <f>+BE24+SUM(BC25:BD25)</f>
        <v>-20.5</v>
      </c>
      <c r="BF25" s="26"/>
      <c r="BG25" s="16"/>
      <c r="BH25" s="16"/>
      <c r="BI25" s="16"/>
      <c r="BJ25" s="26"/>
      <c r="BK25" s="76">
        <f>M24</f>
        <v>400</v>
      </c>
      <c r="BL25" s="76"/>
      <c r="BM25" s="2">
        <f t="shared" si="18"/>
        <v>1352</v>
      </c>
      <c r="BN25" s="26"/>
      <c r="BO25" s="51"/>
      <c r="BP25" s="23"/>
      <c r="BQ25" s="52"/>
      <c r="BR25" s="26"/>
      <c r="BS25" s="76"/>
      <c r="BT25" s="76"/>
      <c r="BU25" s="2">
        <f t="shared" ref="BU25:BU26" si="22">+BU24+SUM(BS25:BT25)</f>
        <v>360</v>
      </c>
      <c r="BV25" s="26"/>
      <c r="BW25" s="12" t="s">
        <v>47</v>
      </c>
      <c r="BX25" s="12"/>
      <c r="BY25" s="31">
        <f>+AK26</f>
        <v>1950</v>
      </c>
      <c r="BZ25" s="20"/>
      <c r="CA25" s="20"/>
      <c r="CB25" s="20"/>
      <c r="CC25" s="20"/>
      <c r="CD25" s="20"/>
      <c r="CE25" s="82"/>
      <c r="CF25" s="83"/>
      <c r="CG25" s="84"/>
      <c r="CH25" s="106"/>
      <c r="CI25" s="103"/>
      <c r="CJ25" s="85"/>
      <c r="CK25" s="84"/>
      <c r="CL25" s="107"/>
      <c r="CM25" s="103"/>
      <c r="CN25" s="86"/>
      <c r="CO25" s="105"/>
      <c r="CP25" s="105"/>
      <c r="CQ25" s="19"/>
      <c r="CR25" s="37" t="s">
        <v>106</v>
      </c>
      <c r="CS25" s="120"/>
      <c r="CT25" s="121"/>
      <c r="DH25" s="133"/>
      <c r="DI25" s="133"/>
      <c r="DJ25" s="133"/>
      <c r="DK25" s="133"/>
      <c r="DL25" s="133"/>
      <c r="DM25" s="133"/>
    </row>
    <row r="26" spans="1:117" s="72" customFormat="1" ht="16.5" thickBot="1" x14ac:dyDescent="0.3">
      <c r="A26" s="64">
        <v>42739</v>
      </c>
      <c r="B26" s="4" t="s">
        <v>71</v>
      </c>
      <c r="C26" s="4">
        <v>12000</v>
      </c>
      <c r="D26" s="4"/>
      <c r="E26" s="16"/>
      <c r="F26" s="46"/>
      <c r="G26" s="116" t="s">
        <v>1</v>
      </c>
      <c r="H26" s="4"/>
      <c r="I26" s="4">
        <f>-H25</f>
        <v>-8000</v>
      </c>
      <c r="J26" s="16"/>
      <c r="K26" s="46"/>
      <c r="L26" s="4"/>
      <c r="M26" s="4"/>
      <c r="N26" s="4"/>
      <c r="O26" s="16"/>
      <c r="P26" s="46">
        <v>42763</v>
      </c>
      <c r="Q26" s="4" t="s">
        <v>2</v>
      </c>
      <c r="R26" s="4">
        <f>-S27</f>
        <v>15000</v>
      </c>
      <c r="S26" s="4"/>
      <c r="T26" s="16"/>
      <c r="U26" s="46"/>
      <c r="V26" s="4"/>
      <c r="W26" s="4"/>
      <c r="X26" s="4"/>
      <c r="Y26" s="16"/>
      <c r="Z26" s="46"/>
      <c r="AA26" s="4"/>
      <c r="AB26" s="4"/>
      <c r="AC26" s="4"/>
      <c r="AD26" s="16"/>
      <c r="AE26" s="46"/>
      <c r="AF26" s="4"/>
      <c r="AG26" s="4"/>
      <c r="AH26" s="4"/>
      <c r="AI26" s="19"/>
      <c r="AJ26" s="36" t="s">
        <v>47</v>
      </c>
      <c r="AK26" s="11">
        <f>+BM34</f>
        <v>1950</v>
      </c>
      <c r="AL26" s="17"/>
      <c r="AM26" s="15"/>
      <c r="AN26" s="15">
        <f>X9</f>
        <v>-80</v>
      </c>
      <c r="AO26" s="9">
        <f t="shared" si="10"/>
        <v>94357</v>
      </c>
      <c r="AP26" s="17"/>
      <c r="AQ26" s="15"/>
      <c r="AR26" s="15">
        <f>I17</f>
        <v>-304</v>
      </c>
      <c r="AS26" s="9">
        <f t="shared" si="21"/>
        <v>2265</v>
      </c>
      <c r="AT26" s="20"/>
      <c r="AU26" s="15">
        <f>M5</f>
        <v>208</v>
      </c>
      <c r="AV26" s="15"/>
      <c r="AW26" s="56">
        <f t="shared" si="20"/>
        <v>21128</v>
      </c>
      <c r="AX26" s="26"/>
      <c r="AY26" s="26"/>
      <c r="AZ26" s="26"/>
      <c r="BA26" s="26"/>
      <c r="BB26" s="26"/>
      <c r="BC26" s="15"/>
      <c r="BD26" s="15">
        <f>I14</f>
        <v>-19</v>
      </c>
      <c r="BE26" s="57">
        <f t="shared" ref="BE26:BE31" si="23">+BE25+SUM(BC26:BD26)</f>
        <v>-39.5</v>
      </c>
      <c r="BF26" s="26"/>
      <c r="BG26" s="48" t="str">
        <f>+AJ23</f>
        <v>Merchandise Sales</v>
      </c>
      <c r="BH26" s="49"/>
      <c r="BI26" s="50"/>
      <c r="BJ26" s="26"/>
      <c r="BK26" s="76">
        <f>M31</f>
        <v>598</v>
      </c>
      <c r="BL26" s="76"/>
      <c r="BM26" s="2">
        <f t="shared" si="18"/>
        <v>1950</v>
      </c>
      <c r="BN26" s="26"/>
      <c r="BO26" s="48" t="str">
        <f>+AJ31</f>
        <v>Internet Expense</v>
      </c>
      <c r="BP26" s="49"/>
      <c r="BQ26" s="50"/>
      <c r="BR26" s="26"/>
      <c r="BS26" s="15"/>
      <c r="BT26" s="15"/>
      <c r="BU26" s="2">
        <f t="shared" si="22"/>
        <v>360</v>
      </c>
      <c r="BV26" s="26"/>
      <c r="BW26" s="12" t="s">
        <v>73</v>
      </c>
      <c r="BX26" s="12"/>
      <c r="BY26" s="12">
        <f>+BY24-BY25</f>
        <v>1025.4000000000001</v>
      </c>
      <c r="BZ26" s="20"/>
      <c r="CA26" s="20"/>
      <c r="CB26" s="20"/>
      <c r="CC26" s="20"/>
      <c r="CD26" s="20"/>
      <c r="CE26" s="82"/>
      <c r="CF26" s="87"/>
      <c r="CG26" s="88"/>
      <c r="CH26" s="108"/>
      <c r="CI26" s="103"/>
      <c r="CJ26" s="89"/>
      <c r="CK26" s="115"/>
      <c r="CL26" s="109"/>
      <c r="CM26" s="103"/>
      <c r="CN26" s="90"/>
      <c r="CO26" s="110"/>
      <c r="CP26" s="110"/>
      <c r="CQ26" s="19"/>
      <c r="CR26" s="122" t="s">
        <v>6</v>
      </c>
      <c r="CS26" s="123" t="s">
        <v>7</v>
      </c>
      <c r="CT26" s="124" t="s">
        <v>4</v>
      </c>
      <c r="CU26" s="17"/>
      <c r="CV26" s="17"/>
      <c r="CW26" s="17"/>
      <c r="CX26" s="17"/>
      <c r="DH26" s="134"/>
      <c r="DI26" s="134"/>
      <c r="DJ26" s="134"/>
      <c r="DK26" s="134"/>
      <c r="DL26" s="134"/>
      <c r="DM26" s="134"/>
    </row>
    <row r="27" spans="1:117" ht="18.600000000000001" customHeight="1" thickBot="1" x14ac:dyDescent="0.3">
      <c r="A27" s="64"/>
      <c r="B27" s="116" t="s">
        <v>39</v>
      </c>
      <c r="C27" s="4"/>
      <c r="D27" s="4">
        <v>-12000</v>
      </c>
      <c r="F27" s="46"/>
      <c r="G27" s="4"/>
      <c r="H27" s="4"/>
      <c r="I27" s="4"/>
      <c r="K27" s="46">
        <v>42760</v>
      </c>
      <c r="L27" s="4" t="s">
        <v>1</v>
      </c>
      <c r="M27" s="4">
        <f>777.4*1.05</f>
        <v>816.27</v>
      </c>
      <c r="N27" s="4"/>
      <c r="P27" s="46"/>
      <c r="Q27" s="116" t="s">
        <v>39</v>
      </c>
      <c r="R27" s="4"/>
      <c r="S27" s="4">
        <v>-15000</v>
      </c>
      <c r="U27" s="46"/>
      <c r="V27" s="4"/>
      <c r="W27" s="4"/>
      <c r="X27" s="4"/>
      <c r="Z27" s="46"/>
      <c r="AA27" s="4"/>
      <c r="AB27" s="4"/>
      <c r="AC27" s="4"/>
      <c r="AE27" s="46"/>
      <c r="AF27" s="4"/>
      <c r="AG27" s="4"/>
      <c r="AH27" s="4"/>
      <c r="AI27" s="19"/>
      <c r="AJ27" s="36" t="s">
        <v>48</v>
      </c>
      <c r="AK27" s="11">
        <f>+BM41</f>
        <v>15</v>
      </c>
      <c r="AM27" s="15"/>
      <c r="AN27" s="15">
        <f>X12</f>
        <v>-15</v>
      </c>
      <c r="AO27" s="9">
        <f t="shared" si="10"/>
        <v>94342</v>
      </c>
      <c r="AQ27" s="15"/>
      <c r="AR27" s="15">
        <f>I33</f>
        <v>-320</v>
      </c>
      <c r="AS27" s="9">
        <f t="shared" si="21"/>
        <v>1945</v>
      </c>
      <c r="AT27" s="20"/>
      <c r="AU27" s="15"/>
      <c r="AV27" s="15">
        <f>N9</f>
        <v>-628</v>
      </c>
      <c r="AW27" s="56">
        <f t="shared" si="20"/>
        <v>20500</v>
      </c>
      <c r="AY27" s="38" t="str">
        <f>+AJ14</f>
        <v>Visa</v>
      </c>
      <c r="AZ27" s="38"/>
      <c r="BA27" s="39"/>
      <c r="BC27" s="15"/>
      <c r="BD27" s="15">
        <f>I30</f>
        <v>-20</v>
      </c>
      <c r="BE27" s="57">
        <f t="shared" si="23"/>
        <v>-59.5</v>
      </c>
      <c r="BG27" s="18" t="s">
        <v>6</v>
      </c>
      <c r="BH27" s="18" t="s">
        <v>7</v>
      </c>
      <c r="BI27" s="53" t="s">
        <v>4</v>
      </c>
      <c r="BK27" s="76"/>
      <c r="BL27" s="76"/>
      <c r="BM27" s="2">
        <f t="shared" si="18"/>
        <v>1950</v>
      </c>
      <c r="BO27" s="54" t="s">
        <v>6</v>
      </c>
      <c r="BP27" s="54" t="s">
        <v>7</v>
      </c>
      <c r="BQ27" s="55" t="s">
        <v>4</v>
      </c>
      <c r="BS27" s="16"/>
      <c r="BT27" s="16"/>
      <c r="BU27" s="16"/>
      <c r="BW27" s="12" t="s">
        <v>23</v>
      </c>
      <c r="BX27" s="12"/>
      <c r="BY27" s="12"/>
      <c r="BZ27" s="20"/>
      <c r="CA27" s="20"/>
      <c r="CB27" s="20"/>
      <c r="CC27" s="20"/>
      <c r="CD27" s="20"/>
      <c r="CE27" s="20"/>
      <c r="CF27" s="20"/>
      <c r="CG27" s="20"/>
      <c r="CH27" s="114"/>
      <c r="CI27" s="114"/>
      <c r="CJ27" s="20"/>
      <c r="CK27" s="20"/>
      <c r="CL27" s="114"/>
      <c r="CM27" s="114"/>
      <c r="CN27" s="20"/>
      <c r="CO27" s="114"/>
      <c r="CP27" s="114"/>
      <c r="CQ27" s="19"/>
      <c r="CR27" s="28" t="s">
        <v>15</v>
      </c>
      <c r="CS27" s="28"/>
      <c r="CT27" s="28">
        <v>0</v>
      </c>
    </row>
    <row r="28" spans="1:117" ht="16.5" customHeight="1" thickBot="1" x14ac:dyDescent="0.3">
      <c r="A28" s="64"/>
      <c r="B28" s="4"/>
      <c r="C28" s="4"/>
      <c r="D28" s="4"/>
      <c r="F28" s="46">
        <v>42751</v>
      </c>
      <c r="G28" s="4" t="s">
        <v>101</v>
      </c>
      <c r="H28" s="4">
        <f>400*1.05</f>
        <v>420</v>
      </c>
      <c r="I28" s="4"/>
      <c r="K28" s="46"/>
      <c r="L28" s="116" t="s">
        <v>45</v>
      </c>
      <c r="M28" s="4"/>
      <c r="N28" s="4">
        <v>-777.4</v>
      </c>
      <c r="P28" s="46"/>
      <c r="Q28" s="4"/>
      <c r="R28" s="4"/>
      <c r="S28" s="4"/>
      <c r="U28" s="46"/>
      <c r="V28" s="4"/>
      <c r="W28" s="4"/>
      <c r="X28" s="4"/>
      <c r="Z28" s="46"/>
      <c r="AA28" s="4"/>
      <c r="AB28" s="4"/>
      <c r="AC28" s="4"/>
      <c r="AE28" s="46"/>
      <c r="AF28" s="4"/>
      <c r="AG28" s="4"/>
      <c r="AH28" s="4"/>
      <c r="AI28" s="19"/>
      <c r="AJ28" s="36" t="s">
        <v>49</v>
      </c>
      <c r="AK28" s="11">
        <f>+BQ10</f>
        <v>0</v>
      </c>
      <c r="AM28" s="15"/>
      <c r="AN28" s="15"/>
      <c r="AO28" s="9">
        <f t="shared" si="10"/>
        <v>94342</v>
      </c>
      <c r="AQ28" s="15">
        <f>M14</f>
        <v>400</v>
      </c>
      <c r="AR28" s="15"/>
      <c r="AS28" s="9">
        <f t="shared" si="21"/>
        <v>2345</v>
      </c>
      <c r="AT28" s="20"/>
      <c r="AU28" s="15"/>
      <c r="AV28" s="15">
        <f>N12</f>
        <v>-20500</v>
      </c>
      <c r="AW28" s="56">
        <f t="shared" si="20"/>
        <v>0</v>
      </c>
      <c r="AY28" s="18" t="s">
        <v>6</v>
      </c>
      <c r="AZ28" s="18" t="s">
        <v>7</v>
      </c>
      <c r="BA28" s="53" t="s">
        <v>4</v>
      </c>
      <c r="BC28" s="15"/>
      <c r="BD28" s="15">
        <f>N22</f>
        <v>-25</v>
      </c>
      <c r="BE28" s="57">
        <f t="shared" si="23"/>
        <v>-84.5</v>
      </c>
      <c r="BG28" s="58" t="s">
        <v>15</v>
      </c>
      <c r="BH28" s="62"/>
      <c r="BI28" s="3">
        <v>0</v>
      </c>
      <c r="BK28" s="76"/>
      <c r="BL28" s="76"/>
      <c r="BM28" s="2">
        <f t="shared" si="18"/>
        <v>1950</v>
      </c>
      <c r="BO28" s="1" t="s">
        <v>15</v>
      </c>
      <c r="BP28" s="2"/>
      <c r="BQ28" s="2">
        <v>0</v>
      </c>
      <c r="BS28" s="48" t="str">
        <f>+AJ36</f>
        <v>Utilities</v>
      </c>
      <c r="BT28" s="49"/>
      <c r="BU28" s="50"/>
      <c r="BW28" s="29" t="str">
        <f t="shared" ref="BW28:BW37" si="24">+AJ27</f>
        <v>Bank Service Charges</v>
      </c>
      <c r="BX28" s="12">
        <f t="shared" ref="BX28:BX37" si="25">+AK27</f>
        <v>15</v>
      </c>
      <c r="BY28" s="12"/>
      <c r="CE28" s="100" t="s">
        <v>90</v>
      </c>
      <c r="CF28" s="254" t="s">
        <v>81</v>
      </c>
      <c r="CG28" s="255"/>
      <c r="CH28" s="256"/>
      <c r="CI28" s="103"/>
      <c r="CJ28" s="257" t="s">
        <v>82</v>
      </c>
      <c r="CK28" s="258"/>
      <c r="CL28" s="259"/>
      <c r="CM28" s="103"/>
      <c r="CN28" s="260" t="s">
        <v>83</v>
      </c>
      <c r="CO28" s="261"/>
      <c r="CP28" s="262"/>
      <c r="CR28" s="65"/>
      <c r="CS28" s="65"/>
      <c r="CT28" s="28">
        <f>+CT27+SUM(CR28:CS28)</f>
        <v>0</v>
      </c>
    </row>
    <row r="29" spans="1:117" ht="15.75" x14ac:dyDescent="0.25">
      <c r="A29" s="64">
        <v>42744</v>
      </c>
      <c r="B29" s="4" t="s">
        <v>69</v>
      </c>
      <c r="C29" s="4">
        <v>16000</v>
      </c>
      <c r="D29" s="4"/>
      <c r="F29" s="46"/>
      <c r="G29" s="116" t="s">
        <v>45</v>
      </c>
      <c r="H29" s="4"/>
      <c r="I29" s="4">
        <v>-400</v>
      </c>
      <c r="K29" s="46"/>
      <c r="L29" s="116" t="s">
        <v>61</v>
      </c>
      <c r="M29" s="4"/>
      <c r="N29" s="4">
        <f>-SUM(M27:N28)</f>
        <v>-38.870000000000005</v>
      </c>
      <c r="P29" s="46">
        <v>42766</v>
      </c>
      <c r="Q29" s="4" t="s">
        <v>52</v>
      </c>
      <c r="R29" s="4">
        <v>4583</v>
      </c>
      <c r="S29" s="4"/>
      <c r="U29" s="46"/>
      <c r="V29" s="4"/>
      <c r="W29" s="4"/>
      <c r="X29" s="4"/>
      <c r="Z29" s="46"/>
      <c r="AA29" s="4"/>
      <c r="AB29" s="4"/>
      <c r="AC29" s="4"/>
      <c r="AE29" s="46"/>
      <c r="AF29" s="4"/>
      <c r="AG29" s="4"/>
      <c r="AH29" s="4"/>
      <c r="AI29" s="19"/>
      <c r="AJ29" s="36" t="s">
        <v>3</v>
      </c>
      <c r="AK29" s="11">
        <f>+BQ17</f>
        <v>0</v>
      </c>
      <c r="AM29" s="15"/>
      <c r="AN29" s="15"/>
      <c r="AO29" s="9">
        <f t="shared" si="10"/>
        <v>94342</v>
      </c>
      <c r="AQ29" s="15">
        <f>M17</f>
        <v>598</v>
      </c>
      <c r="AR29" s="15"/>
      <c r="AS29" s="9">
        <f t="shared" ref="AS29:AS33" si="26">+AS28+SUM(AQ29:AR29)</f>
        <v>2943</v>
      </c>
      <c r="AT29" s="20"/>
      <c r="AU29" s="15">
        <f>R5</f>
        <v>430.5</v>
      </c>
      <c r="AV29" s="15"/>
      <c r="AW29" s="56">
        <f t="shared" si="20"/>
        <v>430.5</v>
      </c>
      <c r="AY29" s="78" t="s">
        <v>15</v>
      </c>
      <c r="AZ29" s="79"/>
      <c r="BA29" s="57">
        <v>0</v>
      </c>
      <c r="BC29" s="15"/>
      <c r="BD29" s="15">
        <f>N29</f>
        <v>-38.870000000000005</v>
      </c>
      <c r="BE29" s="57">
        <f t="shared" si="23"/>
        <v>-123.37</v>
      </c>
      <c r="BG29" s="15"/>
      <c r="BH29" s="15">
        <f>I6</f>
        <v>-410</v>
      </c>
      <c r="BI29" s="3">
        <f>+BI28+SUM(BG29:BH29)</f>
        <v>-410</v>
      </c>
      <c r="BK29" s="76"/>
      <c r="BL29" s="76"/>
      <c r="BM29" s="2">
        <f t="shared" si="18"/>
        <v>1950</v>
      </c>
      <c r="BO29" s="15"/>
      <c r="BP29" s="15"/>
      <c r="BQ29" s="2">
        <f>+BQ28+SUM(BO29:BP29)</f>
        <v>0</v>
      </c>
      <c r="BS29" s="54" t="s">
        <v>6</v>
      </c>
      <c r="BT29" s="54" t="s">
        <v>7</v>
      </c>
      <c r="BU29" s="55" t="s">
        <v>4</v>
      </c>
      <c r="BW29" s="29" t="str">
        <f t="shared" si="24"/>
        <v>Depreciation Expense</v>
      </c>
      <c r="BX29" s="12">
        <f t="shared" si="25"/>
        <v>0</v>
      </c>
      <c r="BY29" s="12"/>
      <c r="CE29" s="92"/>
      <c r="CF29" s="95"/>
      <c r="CG29" s="95" t="s">
        <v>84</v>
      </c>
      <c r="CH29" s="112" t="s">
        <v>85</v>
      </c>
      <c r="CI29" s="103"/>
      <c r="CJ29" s="95"/>
      <c r="CK29" s="95" t="s">
        <v>84</v>
      </c>
      <c r="CL29" s="112" t="s">
        <v>85</v>
      </c>
      <c r="CM29" s="103"/>
      <c r="CN29" s="95"/>
      <c r="CO29" s="112" t="s">
        <v>84</v>
      </c>
      <c r="CP29" s="112" t="s">
        <v>85</v>
      </c>
      <c r="CR29" s="65"/>
      <c r="CS29" s="65"/>
      <c r="CT29" s="28">
        <f>+CT28+SUM(CR29:CS29)</f>
        <v>0</v>
      </c>
    </row>
    <row r="30" spans="1:117" s="19" customFormat="1" ht="16.5" thickBot="1" x14ac:dyDescent="0.3">
      <c r="A30" s="64"/>
      <c r="B30" s="116" t="s">
        <v>39</v>
      </c>
      <c r="C30" s="4"/>
      <c r="D30" s="4">
        <v>-16000</v>
      </c>
      <c r="E30" s="16"/>
      <c r="F30" s="46"/>
      <c r="G30" s="116" t="s">
        <v>61</v>
      </c>
      <c r="H30" s="4"/>
      <c r="I30" s="4">
        <f>-SUM(H28:I29)</f>
        <v>-20</v>
      </c>
      <c r="J30" s="16"/>
      <c r="K30" s="46"/>
      <c r="L30" s="4"/>
      <c r="M30" s="4"/>
      <c r="N30" s="4"/>
      <c r="O30" s="16"/>
      <c r="P30" s="46"/>
      <c r="Q30" s="116" t="s">
        <v>59</v>
      </c>
      <c r="R30" s="4"/>
      <c r="S30" s="4">
        <v>-1044</v>
      </c>
      <c r="T30" s="16"/>
      <c r="U30" s="46"/>
      <c r="V30" s="4"/>
      <c r="W30" s="4"/>
      <c r="X30" s="4"/>
      <c r="Y30" s="16"/>
      <c r="Z30" s="46"/>
      <c r="AA30" s="4"/>
      <c r="AB30" s="4"/>
      <c r="AC30" s="4"/>
      <c r="AD30" s="16"/>
      <c r="AE30" s="46"/>
      <c r="AF30" s="4"/>
      <c r="AG30" s="4"/>
      <c r="AH30" s="4"/>
      <c r="AJ30" s="36" t="s">
        <v>50</v>
      </c>
      <c r="AK30" s="11">
        <f>+BQ24</f>
        <v>0</v>
      </c>
      <c r="AL30" s="20"/>
      <c r="AM30" s="15"/>
      <c r="AN30" s="15"/>
      <c r="AO30" s="9">
        <f t="shared" si="10"/>
        <v>94342</v>
      </c>
      <c r="AP30" s="17"/>
      <c r="AQ30" s="15"/>
      <c r="AR30" s="15">
        <f>N25</f>
        <v>-400</v>
      </c>
      <c r="AS30" s="9">
        <f t="shared" si="26"/>
        <v>2543</v>
      </c>
      <c r="AT30" s="20"/>
      <c r="AU30" s="15">
        <f>R8</f>
        <v>525</v>
      </c>
      <c r="AV30" s="15"/>
      <c r="AW30" s="56">
        <f t="shared" si="20"/>
        <v>955.5</v>
      </c>
      <c r="AX30" s="26"/>
      <c r="AY30" s="15"/>
      <c r="AZ30" s="15">
        <f>D16</f>
        <v>-1000</v>
      </c>
      <c r="BA30" s="77">
        <f>+BA29+SUM(AY30:AZ30)</f>
        <v>-1000</v>
      </c>
      <c r="BB30" s="26"/>
      <c r="BC30" s="15"/>
      <c r="BD30" s="15"/>
      <c r="BE30" s="57">
        <f t="shared" si="23"/>
        <v>-123.37</v>
      </c>
      <c r="BF30" s="26"/>
      <c r="BG30" s="15"/>
      <c r="BH30" s="15">
        <f>I13</f>
        <v>-380</v>
      </c>
      <c r="BI30" s="3">
        <f>+BI29+SUM(BG30:BH30)</f>
        <v>-790</v>
      </c>
      <c r="BJ30" s="26"/>
      <c r="BK30" s="76"/>
      <c r="BL30" s="76"/>
      <c r="BM30" s="2">
        <f t="shared" si="18"/>
        <v>1950</v>
      </c>
      <c r="BN30" s="26"/>
      <c r="BO30" s="76"/>
      <c r="BP30" s="76"/>
      <c r="BQ30" s="2">
        <f t="shared" ref="BQ30:BQ31" si="27">+BQ29+SUM(BO30:BP30)</f>
        <v>0</v>
      </c>
      <c r="BR30" s="26"/>
      <c r="BS30" s="1" t="s">
        <v>15</v>
      </c>
      <c r="BT30" s="2"/>
      <c r="BU30" s="2">
        <v>0</v>
      </c>
      <c r="BV30" s="26"/>
      <c r="BW30" s="29" t="str">
        <f t="shared" si="24"/>
        <v>Insurance Expense</v>
      </c>
      <c r="BX30" s="12">
        <f t="shared" si="25"/>
        <v>0</v>
      </c>
      <c r="BY30" s="12"/>
      <c r="BZ30" s="20"/>
      <c r="CA30" s="20"/>
      <c r="CB30" s="20"/>
      <c r="CC30" s="20"/>
      <c r="CD30" s="20"/>
      <c r="CE30" s="93" t="s">
        <v>27</v>
      </c>
      <c r="CF30" s="96" t="s">
        <v>86</v>
      </c>
      <c r="CG30" s="96" t="s">
        <v>87</v>
      </c>
      <c r="CH30" s="113" t="s">
        <v>87</v>
      </c>
      <c r="CI30" s="103"/>
      <c r="CJ30" s="96" t="s">
        <v>86</v>
      </c>
      <c r="CK30" s="96" t="s">
        <v>87</v>
      </c>
      <c r="CL30" s="113" t="s">
        <v>87</v>
      </c>
      <c r="CM30" s="103"/>
      <c r="CN30" s="96" t="s">
        <v>86</v>
      </c>
      <c r="CO30" s="113" t="s">
        <v>87</v>
      </c>
      <c r="CP30" s="113" t="s">
        <v>87</v>
      </c>
      <c r="CR30" s="65"/>
      <c r="CS30" s="65"/>
      <c r="CT30" s="28">
        <f>+CT29+SUM(CR30:CS30)</f>
        <v>0</v>
      </c>
      <c r="DH30" s="20"/>
      <c r="DI30" s="20"/>
      <c r="DJ30" s="20"/>
      <c r="DK30" s="20"/>
      <c r="DL30" s="20"/>
      <c r="DM30" s="20"/>
    </row>
    <row r="31" spans="1:117" ht="16.5" thickBot="1" x14ac:dyDescent="0.3">
      <c r="A31" s="64"/>
      <c r="B31" s="4"/>
      <c r="C31" s="4"/>
      <c r="D31" s="4"/>
      <c r="F31" s="46"/>
      <c r="G31" s="4"/>
      <c r="H31" s="4"/>
      <c r="I31" s="4"/>
      <c r="K31" s="46"/>
      <c r="L31" s="4" t="s">
        <v>47</v>
      </c>
      <c r="M31" s="4">
        <v>598</v>
      </c>
      <c r="N31" s="4"/>
      <c r="P31" s="46"/>
      <c r="Q31" s="116" t="s">
        <v>39</v>
      </c>
      <c r="R31" s="4"/>
      <c r="S31" s="4">
        <v>-3539</v>
      </c>
      <c r="U31" s="46"/>
      <c r="V31" s="4"/>
      <c r="W31" s="4"/>
      <c r="X31" s="4"/>
      <c r="Z31" s="46"/>
      <c r="AA31" s="4"/>
      <c r="AB31" s="4"/>
      <c r="AC31" s="4"/>
      <c r="AE31" s="46"/>
      <c r="AF31" s="4"/>
      <c r="AG31" s="4"/>
      <c r="AH31" s="4"/>
      <c r="AJ31" s="36" t="s">
        <v>62</v>
      </c>
      <c r="AK31" s="11">
        <f>+BQ31</f>
        <v>0</v>
      </c>
      <c r="AM31" s="15"/>
      <c r="AN31" s="15"/>
      <c r="AO31" s="9">
        <f t="shared" si="10"/>
        <v>94342</v>
      </c>
      <c r="AQ31" s="15"/>
      <c r="AR31" s="15">
        <f>N32</f>
        <v>-598</v>
      </c>
      <c r="AS31" s="9">
        <f t="shared" si="26"/>
        <v>1945</v>
      </c>
      <c r="AT31" s="20"/>
      <c r="AU31" s="15"/>
      <c r="AV31" s="15">
        <f>S12</f>
        <v>-956</v>
      </c>
      <c r="AW31" s="56">
        <f t="shared" si="20"/>
        <v>-0.5</v>
      </c>
      <c r="AY31" s="15"/>
      <c r="AZ31" s="15"/>
      <c r="BA31" s="77">
        <f>+BA30+SUM(AY31:AZ31)</f>
        <v>-1000</v>
      </c>
      <c r="BC31" s="15"/>
      <c r="BD31" s="15"/>
      <c r="BE31" s="57">
        <f t="shared" si="23"/>
        <v>-123.37</v>
      </c>
      <c r="BG31" s="15"/>
      <c r="BH31" s="15">
        <f>I29</f>
        <v>-400</v>
      </c>
      <c r="BI31" s="3">
        <f>+BI30+SUM(BG31:BH31)</f>
        <v>-1190</v>
      </c>
      <c r="BK31" s="76"/>
      <c r="BL31" s="76"/>
      <c r="BM31" s="2">
        <f t="shared" si="18"/>
        <v>1950</v>
      </c>
      <c r="BO31" s="15"/>
      <c r="BP31" s="15"/>
      <c r="BQ31" s="2">
        <f t="shared" si="27"/>
        <v>0</v>
      </c>
      <c r="BS31" s="15">
        <f>R20</f>
        <v>620</v>
      </c>
      <c r="BT31" s="15"/>
      <c r="BU31" s="2">
        <f>+BU30+SUM(BS31:BT31)</f>
        <v>620</v>
      </c>
      <c r="BW31" s="29" t="str">
        <f t="shared" si="24"/>
        <v>Interest Expense</v>
      </c>
      <c r="BX31" s="12">
        <f t="shared" si="25"/>
        <v>0</v>
      </c>
      <c r="BY31" s="12"/>
      <c r="CE31" s="91">
        <v>42736</v>
      </c>
      <c r="CF31" s="94"/>
      <c r="CG31" s="97"/>
      <c r="CH31" s="102"/>
      <c r="CI31" s="103"/>
      <c r="CJ31" s="98"/>
      <c r="CK31" s="97"/>
      <c r="CL31" s="104"/>
      <c r="CM31" s="103"/>
      <c r="CN31" s="99">
        <v>1</v>
      </c>
      <c r="CO31" s="101">
        <v>440</v>
      </c>
      <c r="CP31" s="101">
        <f>CN31*CO31</f>
        <v>440</v>
      </c>
    </row>
    <row r="32" spans="1:117" ht="16.5" thickBot="1" x14ac:dyDescent="0.3">
      <c r="A32" s="64">
        <v>42746</v>
      </c>
      <c r="B32" s="4" t="s">
        <v>69</v>
      </c>
      <c r="C32" s="4">
        <v>7000</v>
      </c>
      <c r="D32" s="4"/>
      <c r="F32" s="46"/>
      <c r="G32" s="4" t="s">
        <v>47</v>
      </c>
      <c r="H32" s="4">
        <v>320</v>
      </c>
      <c r="I32" s="4"/>
      <c r="K32" s="46"/>
      <c r="L32" s="116" t="s">
        <v>40</v>
      </c>
      <c r="M32" s="4"/>
      <c r="N32" s="4">
        <f>-M31</f>
        <v>-598</v>
      </c>
      <c r="P32" s="46"/>
      <c r="Q32" s="4"/>
      <c r="R32" s="4"/>
      <c r="S32" s="4"/>
      <c r="U32" s="46"/>
      <c r="V32" s="4"/>
      <c r="W32" s="4"/>
      <c r="X32" s="4"/>
      <c r="Z32" s="46"/>
      <c r="AA32" s="4"/>
      <c r="AB32" s="4"/>
      <c r="AC32" s="4"/>
      <c r="AE32" s="46"/>
      <c r="AF32" s="4"/>
      <c r="AG32" s="4"/>
      <c r="AH32" s="4"/>
      <c r="AJ32" s="36" t="s">
        <v>29</v>
      </c>
      <c r="AK32" s="11">
        <f>+BQ38</f>
        <v>80</v>
      </c>
      <c r="AM32" s="15"/>
      <c r="AN32" s="15"/>
      <c r="AO32" s="9">
        <f t="shared" si="10"/>
        <v>94342</v>
      </c>
      <c r="AQ32" s="15"/>
      <c r="AR32" s="15"/>
      <c r="AS32" s="9">
        <f t="shared" si="26"/>
        <v>1945</v>
      </c>
      <c r="AT32" s="20"/>
      <c r="AU32" s="15">
        <f>W5</f>
        <v>300</v>
      </c>
      <c r="AV32" s="15"/>
      <c r="AW32" s="56">
        <f t="shared" si="20"/>
        <v>299.5</v>
      </c>
      <c r="AY32" s="24"/>
      <c r="AZ32" s="24"/>
      <c r="BA32" s="75"/>
      <c r="BC32" s="19"/>
      <c r="BD32" s="19"/>
      <c r="BE32" s="19"/>
      <c r="BG32" s="15"/>
      <c r="BH32" s="15">
        <f>N21</f>
        <v>-500</v>
      </c>
      <c r="BI32" s="3">
        <f t="shared" ref="BI32:BI35" si="28">+BI31+SUM(BG32:BH32)</f>
        <v>-1690</v>
      </c>
      <c r="BK32" s="76"/>
      <c r="BL32" s="76"/>
      <c r="BM32" s="2">
        <f t="shared" si="18"/>
        <v>1950</v>
      </c>
      <c r="BO32" s="16"/>
      <c r="BP32" s="16"/>
      <c r="BQ32" s="16"/>
      <c r="BS32" s="76"/>
      <c r="BT32" s="76"/>
      <c r="BU32" s="2">
        <f t="shared" ref="BU32:BU33" si="29">+BU31+SUM(BS32:BT32)</f>
        <v>620</v>
      </c>
      <c r="BW32" s="29" t="str">
        <f t="shared" si="24"/>
        <v>Internet Expense</v>
      </c>
      <c r="BX32" s="12">
        <f t="shared" si="25"/>
        <v>0</v>
      </c>
      <c r="BY32" s="12"/>
      <c r="CE32" s="82"/>
      <c r="CF32" s="83"/>
      <c r="CG32" s="84"/>
      <c r="CH32" s="106"/>
      <c r="CI32" s="103"/>
      <c r="CJ32" s="85"/>
      <c r="CK32" s="84"/>
      <c r="CL32" s="107"/>
      <c r="CM32" s="103"/>
      <c r="CN32" s="86"/>
      <c r="CO32" s="105"/>
      <c r="CP32" s="105"/>
      <c r="CR32" s="130" t="s">
        <v>107</v>
      </c>
      <c r="CS32" s="131"/>
      <c r="CT32" s="132"/>
    </row>
    <row r="33" spans="1:102" ht="16.5" thickBot="1" x14ac:dyDescent="0.3">
      <c r="A33" s="64"/>
      <c r="B33" s="116" t="s">
        <v>39</v>
      </c>
      <c r="C33" s="4"/>
      <c r="D33" s="4">
        <v>-7000</v>
      </c>
      <c r="F33" s="46"/>
      <c r="G33" s="116" t="s">
        <v>40</v>
      </c>
      <c r="H33" s="4"/>
      <c r="I33" s="4">
        <v>-320</v>
      </c>
      <c r="K33" s="46"/>
      <c r="L33" s="4"/>
      <c r="M33" s="4"/>
      <c r="N33" s="4"/>
      <c r="P33" s="46"/>
      <c r="Q33" s="4" t="s">
        <v>52</v>
      </c>
      <c r="R33" s="4">
        <v>800</v>
      </c>
      <c r="S33" s="4"/>
      <c r="U33" s="46"/>
      <c r="V33" s="4"/>
      <c r="W33" s="4"/>
      <c r="X33" s="4"/>
      <c r="Z33" s="46"/>
      <c r="AA33" s="4"/>
      <c r="AB33" s="4"/>
      <c r="AC33" s="4"/>
      <c r="AE33" s="46"/>
      <c r="AF33" s="4"/>
      <c r="AG33" s="4"/>
      <c r="AH33" s="4"/>
      <c r="AJ33" s="36" t="s">
        <v>51</v>
      </c>
      <c r="AK33" s="11">
        <f>+BU10</f>
        <v>500</v>
      </c>
      <c r="AM33" s="15"/>
      <c r="AN33" s="15"/>
      <c r="AO33" s="9">
        <f t="shared" si="10"/>
        <v>94342</v>
      </c>
      <c r="AQ33" s="15"/>
      <c r="AR33" s="15"/>
      <c r="AS33" s="9">
        <f t="shared" si="26"/>
        <v>1945</v>
      </c>
      <c r="AT33" s="20"/>
      <c r="AY33" s="38" t="str">
        <f>+AJ15</f>
        <v>Interest Payable</v>
      </c>
      <c r="AZ33" s="38"/>
      <c r="BA33" s="39"/>
      <c r="BC33" s="38" t="str">
        <f>+AJ19</f>
        <v>Unearned Revenue</v>
      </c>
      <c r="BD33" s="38"/>
      <c r="BE33" s="39"/>
      <c r="BG33" s="15"/>
      <c r="BH33" s="15">
        <f>N28</f>
        <v>-777.4</v>
      </c>
      <c r="BI33" s="3">
        <f t="shared" si="28"/>
        <v>-2467.4</v>
      </c>
      <c r="BK33" s="76"/>
      <c r="BL33" s="76"/>
      <c r="BM33" s="2">
        <f t="shared" si="18"/>
        <v>1950</v>
      </c>
      <c r="BO33" s="48" t="str">
        <f>+AJ32</f>
        <v>Misc. Expense</v>
      </c>
      <c r="BP33" s="49"/>
      <c r="BQ33" s="50"/>
      <c r="BS33" s="15"/>
      <c r="BT33" s="15"/>
      <c r="BU33" s="2">
        <f t="shared" si="29"/>
        <v>620</v>
      </c>
      <c r="BW33" s="29" t="str">
        <f t="shared" si="24"/>
        <v>Misc. Expense</v>
      </c>
      <c r="BX33" s="12">
        <f t="shared" si="25"/>
        <v>80</v>
      </c>
      <c r="BY33" s="12"/>
      <c r="CE33" s="82"/>
      <c r="CF33" s="83"/>
      <c r="CG33" s="84"/>
      <c r="CH33" s="106"/>
      <c r="CI33" s="103"/>
      <c r="CJ33" s="85"/>
      <c r="CK33" s="84"/>
      <c r="CL33" s="107"/>
      <c r="CM33" s="103"/>
      <c r="CN33" s="86"/>
      <c r="CO33" s="105"/>
      <c r="CP33" s="105"/>
      <c r="CR33" s="122" t="s">
        <v>6</v>
      </c>
      <c r="CS33" s="123" t="s">
        <v>7</v>
      </c>
      <c r="CT33" s="124" t="s">
        <v>4</v>
      </c>
    </row>
    <row r="34" spans="1:102" ht="16.5" thickBot="1" x14ac:dyDescent="0.3">
      <c r="A34" s="64"/>
      <c r="B34" s="4"/>
      <c r="C34" s="4"/>
      <c r="D34" s="4"/>
      <c r="F34" s="46"/>
      <c r="G34" s="4"/>
      <c r="H34" s="4"/>
      <c r="I34" s="4"/>
      <c r="K34" s="46"/>
      <c r="L34" s="4"/>
      <c r="M34" s="4"/>
      <c r="N34" s="4"/>
      <c r="P34" s="46"/>
      <c r="Q34" s="116" t="s">
        <v>59</v>
      </c>
      <c r="R34" s="4"/>
      <c r="S34" s="4">
        <v>-170</v>
      </c>
      <c r="U34" s="46"/>
      <c r="V34" s="4"/>
      <c r="W34" s="4"/>
      <c r="X34" s="4"/>
      <c r="Z34" s="46"/>
      <c r="AA34" s="4"/>
      <c r="AB34" s="4"/>
      <c r="AC34" s="4"/>
      <c r="AE34" s="46"/>
      <c r="AF34" s="4"/>
      <c r="AG34" s="4"/>
      <c r="AH34" s="4"/>
      <c r="AJ34" s="36" t="s">
        <v>52</v>
      </c>
      <c r="AK34" s="11">
        <f>+BU19</f>
        <v>5767</v>
      </c>
      <c r="AM34" s="15"/>
      <c r="AN34" s="15"/>
      <c r="AO34" s="9">
        <f t="shared" si="10"/>
        <v>94342</v>
      </c>
      <c r="AQ34" s="15"/>
      <c r="AR34" s="15"/>
      <c r="AS34" s="9">
        <f t="shared" ref="AS34:AS37" si="30">+AS33+SUM(AQ34:AR34)</f>
        <v>1945</v>
      </c>
      <c r="AT34" s="20"/>
      <c r="AU34" s="37" t="str">
        <f>+AJ11</f>
        <v>Accumulated Depreciation</v>
      </c>
      <c r="AV34" s="37"/>
      <c r="AW34" s="40"/>
      <c r="AY34" s="18" t="s">
        <v>6</v>
      </c>
      <c r="AZ34" s="18" t="s">
        <v>7</v>
      </c>
      <c r="BA34" s="53" t="s">
        <v>4</v>
      </c>
      <c r="BC34" s="18" t="s">
        <v>6</v>
      </c>
      <c r="BD34" s="18" t="s">
        <v>7</v>
      </c>
      <c r="BE34" s="53" t="s">
        <v>4</v>
      </c>
      <c r="BG34" s="15"/>
      <c r="BH34" s="15"/>
      <c r="BI34" s="3">
        <f t="shared" si="28"/>
        <v>-2467.4</v>
      </c>
      <c r="BK34" s="76"/>
      <c r="BL34" s="76"/>
      <c r="BM34" s="2">
        <f t="shared" si="18"/>
        <v>1950</v>
      </c>
      <c r="BO34" s="54" t="s">
        <v>6</v>
      </c>
      <c r="BP34" s="54" t="s">
        <v>7</v>
      </c>
      <c r="BQ34" s="55" t="s">
        <v>4</v>
      </c>
      <c r="BS34" s="16"/>
      <c r="BT34" s="16"/>
      <c r="BU34" s="16"/>
      <c r="BW34" s="29" t="str">
        <f t="shared" si="24"/>
        <v>Office Supplies</v>
      </c>
      <c r="BX34" s="12">
        <f t="shared" si="25"/>
        <v>500</v>
      </c>
      <c r="BY34" s="12"/>
      <c r="CE34" s="82"/>
      <c r="CF34" s="83"/>
      <c r="CG34" s="84"/>
      <c r="CH34" s="106"/>
      <c r="CI34" s="103"/>
      <c r="CJ34" s="85"/>
      <c r="CK34" s="84"/>
      <c r="CL34" s="107"/>
      <c r="CM34" s="103"/>
      <c r="CN34" s="86"/>
      <c r="CO34" s="105"/>
      <c r="CP34" s="105"/>
      <c r="CR34" s="28" t="s">
        <v>15</v>
      </c>
      <c r="CS34" s="28"/>
      <c r="CT34" s="28">
        <v>0</v>
      </c>
    </row>
    <row r="35" spans="1:102" ht="16.5" thickBot="1" x14ac:dyDescent="0.3">
      <c r="A35" s="64"/>
      <c r="B35" s="4"/>
      <c r="C35" s="4"/>
      <c r="D35" s="4"/>
      <c r="F35" s="46"/>
      <c r="G35" s="4"/>
      <c r="H35" s="4"/>
      <c r="I35" s="4"/>
      <c r="K35" s="46"/>
      <c r="L35" s="4"/>
      <c r="M35" s="4"/>
      <c r="N35" s="4"/>
      <c r="P35" s="46"/>
      <c r="Q35" s="116" t="s">
        <v>39</v>
      </c>
      <c r="R35" s="4"/>
      <c r="S35" s="4">
        <v>-630</v>
      </c>
      <c r="U35" s="46"/>
      <c r="V35" s="4"/>
      <c r="W35" s="4"/>
      <c r="X35" s="4"/>
      <c r="Z35" s="46"/>
      <c r="AA35" s="4"/>
      <c r="AB35" s="4"/>
      <c r="AC35" s="4"/>
      <c r="AE35" s="46"/>
      <c r="AF35" s="4"/>
      <c r="AG35" s="4"/>
      <c r="AH35" s="4"/>
      <c r="AJ35" s="36" t="s">
        <v>53</v>
      </c>
      <c r="AK35" s="11">
        <f>+BU26</f>
        <v>360</v>
      </c>
      <c r="AM35" s="15"/>
      <c r="AN35" s="15"/>
      <c r="AO35" s="9">
        <f t="shared" si="10"/>
        <v>94342</v>
      </c>
      <c r="AQ35" s="15"/>
      <c r="AR35" s="15"/>
      <c r="AS35" s="9">
        <f t="shared" si="30"/>
        <v>1945</v>
      </c>
      <c r="AT35" s="20"/>
      <c r="AU35" s="18" t="s">
        <v>6</v>
      </c>
      <c r="AV35" s="18" t="s">
        <v>7</v>
      </c>
      <c r="AW35" s="53" t="s">
        <v>4</v>
      </c>
      <c r="AY35" s="41" t="s">
        <v>15</v>
      </c>
      <c r="AZ35" s="9"/>
      <c r="BA35" s="57">
        <v>0</v>
      </c>
      <c r="BC35" s="41" t="s">
        <v>15</v>
      </c>
      <c r="BD35" s="9"/>
      <c r="BE35" s="57">
        <v>0</v>
      </c>
      <c r="BG35" s="15"/>
      <c r="BH35" s="15"/>
      <c r="BI35" s="3">
        <f t="shared" si="28"/>
        <v>-2467.4</v>
      </c>
      <c r="BK35" s="16"/>
      <c r="BL35" s="16"/>
      <c r="BM35" s="16"/>
      <c r="BO35" s="1" t="s">
        <v>15</v>
      </c>
      <c r="BP35" s="2"/>
      <c r="BQ35" s="2">
        <v>0</v>
      </c>
      <c r="BS35" s="48" t="str">
        <f>+AJ37</f>
        <v>Interest Income</v>
      </c>
      <c r="BT35" s="49"/>
      <c r="BU35" s="50"/>
      <c r="BW35" s="29" t="str">
        <f t="shared" si="24"/>
        <v>Payroll Expenses</v>
      </c>
      <c r="BX35" s="12">
        <f t="shared" si="25"/>
        <v>5767</v>
      </c>
      <c r="BY35" s="12"/>
      <c r="CE35" s="82"/>
      <c r="CF35" s="83"/>
      <c r="CG35" s="84"/>
      <c r="CH35" s="106"/>
      <c r="CI35" s="103"/>
      <c r="CJ35" s="85"/>
      <c r="CK35" s="84"/>
      <c r="CL35" s="107"/>
      <c r="CM35" s="103"/>
      <c r="CN35" s="86"/>
      <c r="CO35" s="105"/>
      <c r="CP35" s="105"/>
      <c r="CR35" s="65"/>
      <c r="CS35" s="65"/>
      <c r="CT35" s="28">
        <f>+CT34+SUM(CR35:CS35)</f>
        <v>0</v>
      </c>
    </row>
    <row r="36" spans="1:102" ht="16.5" thickBot="1" x14ac:dyDescent="0.3">
      <c r="A36" s="64"/>
      <c r="B36" s="116"/>
      <c r="C36" s="4"/>
      <c r="D36" s="4"/>
      <c r="F36" s="46"/>
      <c r="G36" s="4"/>
      <c r="H36" s="4"/>
      <c r="I36" s="4"/>
      <c r="K36" s="46"/>
      <c r="L36" s="4"/>
      <c r="M36" s="4"/>
      <c r="N36" s="4"/>
      <c r="P36" s="46"/>
      <c r="Q36" s="4"/>
      <c r="R36" s="4"/>
      <c r="S36" s="4"/>
      <c r="U36" s="46"/>
      <c r="V36" s="4"/>
      <c r="W36" s="4"/>
      <c r="X36" s="4"/>
      <c r="Z36" s="46"/>
      <c r="AA36" s="4"/>
      <c r="AB36" s="4"/>
      <c r="AC36" s="4"/>
      <c r="AE36" s="46"/>
      <c r="AF36" s="4"/>
      <c r="AG36" s="4"/>
      <c r="AH36" s="4"/>
      <c r="AJ36" s="36" t="s">
        <v>54</v>
      </c>
      <c r="AK36" s="11">
        <f>+BU33</f>
        <v>620</v>
      </c>
      <c r="AM36" s="15"/>
      <c r="AN36" s="15"/>
      <c r="AO36" s="9">
        <f t="shared" si="10"/>
        <v>94342</v>
      </c>
      <c r="AQ36" s="15"/>
      <c r="AR36" s="15"/>
      <c r="AS36" s="9">
        <f t="shared" si="30"/>
        <v>1945</v>
      </c>
      <c r="AT36" s="20"/>
      <c r="AU36" s="9" t="s">
        <v>15</v>
      </c>
      <c r="AV36" s="9"/>
      <c r="AW36" s="56">
        <v>0</v>
      </c>
      <c r="AY36" s="15"/>
      <c r="AZ36" s="15"/>
      <c r="BA36" s="57">
        <f>+BA35+SUM(AY36:AZ36)</f>
        <v>0</v>
      </c>
      <c r="BC36" s="15"/>
      <c r="BD36" s="15"/>
      <c r="BE36" s="57">
        <f>+BE35+SUM(BC36:BD36)</f>
        <v>0</v>
      </c>
      <c r="BG36" s="16"/>
      <c r="BH36" s="16"/>
      <c r="BI36" s="16"/>
      <c r="BK36" s="48" t="str">
        <f>+AJ27</f>
        <v>Bank Service Charges</v>
      </c>
      <c r="BL36" s="49"/>
      <c r="BM36" s="50"/>
      <c r="BO36" s="15">
        <f>W8</f>
        <v>80</v>
      </c>
      <c r="BP36" s="15"/>
      <c r="BQ36" s="2">
        <f>+BQ35+SUM(BO36:BP36)</f>
        <v>80</v>
      </c>
      <c r="BS36" s="54" t="s">
        <v>6</v>
      </c>
      <c r="BT36" s="54" t="s">
        <v>7</v>
      </c>
      <c r="BU36" s="55" t="s">
        <v>4</v>
      </c>
      <c r="BW36" s="29" t="str">
        <f t="shared" si="24"/>
        <v>Telephone Expense</v>
      </c>
      <c r="BX36" s="12">
        <f t="shared" si="25"/>
        <v>360</v>
      </c>
      <c r="BY36" s="12"/>
      <c r="CE36" s="82"/>
      <c r="CF36" s="83"/>
      <c r="CG36" s="84"/>
      <c r="CH36" s="106"/>
      <c r="CI36" s="103"/>
      <c r="CJ36" s="85"/>
      <c r="CK36" s="84"/>
      <c r="CL36" s="107"/>
      <c r="CM36" s="103"/>
      <c r="CN36" s="86"/>
      <c r="CO36" s="105"/>
      <c r="CP36" s="105"/>
      <c r="CR36" s="65"/>
      <c r="CS36" s="65"/>
      <c r="CT36" s="28">
        <f>+CT35+SUM(CR36:CS36)</f>
        <v>0</v>
      </c>
    </row>
    <row r="37" spans="1:102" ht="16.149999999999999" customHeight="1" thickBot="1" x14ac:dyDescent="0.3">
      <c r="A37" s="64"/>
      <c r="B37" s="116"/>
      <c r="C37" s="4"/>
      <c r="D37" s="4"/>
      <c r="F37" s="46"/>
      <c r="G37" s="4"/>
      <c r="H37" s="4"/>
      <c r="I37" s="4"/>
      <c r="K37" s="46"/>
      <c r="L37" s="4"/>
      <c r="M37" s="4"/>
      <c r="N37" s="4"/>
      <c r="P37" s="46"/>
      <c r="Q37" s="4" t="s">
        <v>52</v>
      </c>
      <c r="R37" s="4">
        <v>384</v>
      </c>
      <c r="S37" s="4"/>
      <c r="U37" s="46"/>
      <c r="V37" s="4"/>
      <c r="W37" s="4"/>
      <c r="X37" s="4"/>
      <c r="Z37" s="46"/>
      <c r="AA37" s="4"/>
      <c r="AB37" s="4"/>
      <c r="AC37" s="4"/>
      <c r="AE37" s="46"/>
      <c r="AF37" s="4"/>
      <c r="AG37" s="4"/>
      <c r="AH37" s="4"/>
      <c r="AJ37" s="36" t="s">
        <v>55</v>
      </c>
      <c r="AK37" s="11">
        <f>+BU40</f>
        <v>0</v>
      </c>
      <c r="AM37" s="15"/>
      <c r="AN37" s="15"/>
      <c r="AO37" s="9">
        <f t="shared" si="10"/>
        <v>94342</v>
      </c>
      <c r="AQ37" s="15"/>
      <c r="AR37" s="15"/>
      <c r="AS37" s="9">
        <f t="shared" si="30"/>
        <v>1945</v>
      </c>
      <c r="AT37" s="20"/>
      <c r="AU37" s="15"/>
      <c r="AV37" s="15"/>
      <c r="AW37" s="56">
        <f>+AW36+SUM(AU37:AV37)</f>
        <v>0</v>
      </c>
      <c r="AY37" s="15"/>
      <c r="AZ37" s="15"/>
      <c r="BA37" s="57">
        <f t="shared" ref="BA37:BA39" si="31">+BA36+SUM(AY37:AZ37)</f>
        <v>0</v>
      </c>
      <c r="BC37" s="15"/>
      <c r="BD37" s="15"/>
      <c r="BE37" s="57">
        <f t="shared" ref="BE37" si="32">+BE36+SUM(BC37:BD37)</f>
        <v>0</v>
      </c>
      <c r="BG37" s="48" t="str">
        <f>+AJ24</f>
        <v>Rent Music Equipment</v>
      </c>
      <c r="BH37" s="49"/>
      <c r="BI37" s="50"/>
      <c r="BK37" s="54" t="s">
        <v>6</v>
      </c>
      <c r="BL37" s="54" t="s">
        <v>7</v>
      </c>
      <c r="BM37" s="55" t="s">
        <v>4</v>
      </c>
      <c r="BO37" s="76"/>
      <c r="BP37" s="76"/>
      <c r="BQ37" s="2">
        <f t="shared" ref="BQ37:BQ38" si="33">+BQ36+SUM(BO37:BP37)</f>
        <v>80</v>
      </c>
      <c r="BS37" s="1" t="s">
        <v>15</v>
      </c>
      <c r="BT37" s="2"/>
      <c r="BU37" s="2">
        <v>0</v>
      </c>
      <c r="BW37" s="29" t="str">
        <f t="shared" si="24"/>
        <v>Utilities</v>
      </c>
      <c r="BX37" s="12">
        <f t="shared" si="25"/>
        <v>620</v>
      </c>
      <c r="BY37" s="12"/>
      <c r="CE37" s="82"/>
      <c r="CF37" s="87"/>
      <c r="CG37" s="88"/>
      <c r="CH37" s="108"/>
      <c r="CI37" s="103"/>
      <c r="CJ37" s="89"/>
      <c r="CK37" s="115"/>
      <c r="CL37" s="109"/>
      <c r="CM37" s="103"/>
      <c r="CN37" s="90"/>
      <c r="CO37" s="110"/>
      <c r="CP37" s="110"/>
      <c r="CR37" s="65"/>
      <c r="CS37" s="65"/>
      <c r="CT37" s="28">
        <f>+CT36+SUM(CR37:CS37)</f>
        <v>0</v>
      </c>
    </row>
    <row r="38" spans="1:102" ht="16.5" thickBot="1" x14ac:dyDescent="0.3">
      <c r="A38" s="64"/>
      <c r="B38" s="4"/>
      <c r="C38" s="4"/>
      <c r="D38" s="4"/>
      <c r="F38" s="46"/>
      <c r="G38" s="4"/>
      <c r="H38" s="4"/>
      <c r="I38" s="4"/>
      <c r="K38" s="46"/>
      <c r="L38" s="4"/>
      <c r="M38" s="4"/>
      <c r="N38" s="4"/>
      <c r="P38" s="46"/>
      <c r="Q38" s="116" t="s">
        <v>59</v>
      </c>
      <c r="R38" s="4"/>
      <c r="S38" s="4">
        <f>-R37</f>
        <v>-384</v>
      </c>
      <c r="U38" s="46"/>
      <c r="V38" s="4"/>
      <c r="W38" s="4"/>
      <c r="X38" s="4"/>
      <c r="Z38" s="46"/>
      <c r="AA38" s="4"/>
      <c r="AB38" s="4"/>
      <c r="AC38" s="4"/>
      <c r="AE38" s="46"/>
      <c r="AF38" s="4"/>
      <c r="AG38" s="4"/>
      <c r="AH38" s="4"/>
      <c r="AJ38" s="13" t="s">
        <v>28</v>
      </c>
      <c r="AK38" s="10">
        <f>+SUM(AK5:AK37)</f>
        <v>2.3646862246096134E-11</v>
      </c>
      <c r="AQ38" s="16"/>
      <c r="AR38" s="16"/>
      <c r="AS38" s="16"/>
      <c r="AT38" s="20"/>
      <c r="AU38" s="15"/>
      <c r="AV38" s="15"/>
      <c r="AW38" s="56">
        <f>+AW37+SUM(AU38:AV38)</f>
        <v>0</v>
      </c>
      <c r="AY38" s="15"/>
      <c r="AZ38" s="15"/>
      <c r="BA38" s="57">
        <f t="shared" si="31"/>
        <v>0</v>
      </c>
      <c r="BC38" s="16"/>
      <c r="BD38" s="16"/>
      <c r="BE38" s="16"/>
      <c r="BG38" s="18" t="s">
        <v>6</v>
      </c>
      <c r="BH38" s="18" t="s">
        <v>7</v>
      </c>
      <c r="BI38" s="53" t="s">
        <v>4</v>
      </c>
      <c r="BK38" s="1" t="s">
        <v>15</v>
      </c>
      <c r="BL38" s="2"/>
      <c r="BM38" s="2">
        <v>0</v>
      </c>
      <c r="BO38" s="15"/>
      <c r="BP38" s="15"/>
      <c r="BQ38" s="2">
        <f t="shared" si="33"/>
        <v>80</v>
      </c>
      <c r="BS38" s="15"/>
      <c r="BT38" s="15"/>
      <c r="BU38" s="2">
        <f>+BU37+SUM(BS38:BT38)</f>
        <v>0</v>
      </c>
      <c r="BW38" s="30" t="s">
        <v>24</v>
      </c>
      <c r="BX38" s="12"/>
      <c r="BY38" s="31">
        <f>SUM(BX28:BX37)</f>
        <v>7342</v>
      </c>
      <c r="CH38" s="111"/>
      <c r="CI38" s="111"/>
      <c r="CL38" s="111"/>
      <c r="CM38" s="111"/>
      <c r="CP38" s="111"/>
    </row>
    <row r="39" spans="1:102" ht="17.25" customHeight="1" thickTop="1" thickBot="1" x14ac:dyDescent="0.3">
      <c r="A39" s="64"/>
      <c r="B39" s="4"/>
      <c r="C39" s="4"/>
      <c r="D39" s="4"/>
      <c r="F39" s="46"/>
      <c r="G39" s="4"/>
      <c r="H39" s="4"/>
      <c r="I39" s="4"/>
      <c r="K39" s="46"/>
      <c r="L39" s="4"/>
      <c r="M39" s="4"/>
      <c r="N39" s="4"/>
      <c r="P39" s="46"/>
      <c r="Q39" s="4"/>
      <c r="R39" s="4"/>
      <c r="S39" s="4"/>
      <c r="U39" s="46"/>
      <c r="V39" s="4"/>
      <c r="W39" s="4"/>
      <c r="X39" s="4"/>
      <c r="Z39" s="46"/>
      <c r="AA39" s="4"/>
      <c r="AB39" s="4"/>
      <c r="AC39" s="4"/>
      <c r="AE39" s="46"/>
      <c r="AF39" s="4"/>
      <c r="AG39" s="4"/>
      <c r="AH39" s="4"/>
      <c r="AJ39" s="67" t="s">
        <v>8</v>
      </c>
      <c r="AK39" s="3">
        <f>SUM(AK23:AK37)</f>
        <v>6316.6</v>
      </c>
      <c r="AQ39" s="16"/>
      <c r="AR39" s="16"/>
      <c r="AS39" s="16"/>
      <c r="AT39" s="20"/>
      <c r="AU39" s="15"/>
      <c r="AV39" s="15"/>
      <c r="AW39" s="56">
        <f>+AW38+SUM(AU39:AV39)</f>
        <v>0</v>
      </c>
      <c r="AY39" s="15"/>
      <c r="AZ39" s="15"/>
      <c r="BA39" s="57">
        <f t="shared" si="31"/>
        <v>0</v>
      </c>
      <c r="BG39" s="58" t="s">
        <v>15</v>
      </c>
      <c r="BH39" s="9"/>
      <c r="BI39" s="3">
        <v>0</v>
      </c>
      <c r="BK39" s="15">
        <f>W11</f>
        <v>15</v>
      </c>
      <c r="BL39" s="15"/>
      <c r="BM39" s="2">
        <f>+BM38+SUM(BK39:BL39)</f>
        <v>15</v>
      </c>
      <c r="BO39" s="16"/>
      <c r="BP39" s="16"/>
      <c r="BQ39" s="16"/>
      <c r="BS39" s="76"/>
      <c r="BT39" s="76"/>
      <c r="BU39" s="2">
        <f t="shared" ref="BU39:BU40" si="34">+BU38+SUM(BS39:BT39)</f>
        <v>0</v>
      </c>
      <c r="BW39" s="12" t="s">
        <v>74</v>
      </c>
      <c r="BX39" s="12"/>
      <c r="BY39" s="12">
        <f>+BY26-BY38</f>
        <v>-6316.6</v>
      </c>
      <c r="CE39" s="100" t="s">
        <v>91</v>
      </c>
      <c r="CF39" s="254" t="s">
        <v>81</v>
      </c>
      <c r="CG39" s="255"/>
      <c r="CH39" s="256"/>
      <c r="CI39" s="103"/>
      <c r="CJ39" s="257" t="s">
        <v>82</v>
      </c>
      <c r="CK39" s="258"/>
      <c r="CL39" s="259"/>
      <c r="CM39" s="103"/>
      <c r="CN39" s="260" t="s">
        <v>83</v>
      </c>
      <c r="CO39" s="261"/>
      <c r="CP39" s="262"/>
    </row>
    <row r="40" spans="1:102" ht="16.5" thickBot="1" x14ac:dyDescent="0.3">
      <c r="AJ40" s="16"/>
      <c r="AK40" s="16"/>
      <c r="AQ40" s="16"/>
      <c r="AR40" s="16"/>
      <c r="AS40" s="16"/>
      <c r="AT40" s="20"/>
      <c r="AU40" s="16"/>
      <c r="AV40" s="16"/>
      <c r="AW40" s="16"/>
      <c r="BG40" s="15"/>
      <c r="BH40" s="15"/>
      <c r="BI40" s="3">
        <f>+BI39+SUM(BG40:BH40)</f>
        <v>0</v>
      </c>
      <c r="BK40" s="76"/>
      <c r="BL40" s="76"/>
      <c r="BM40" s="2">
        <f t="shared" ref="BM40:BM41" si="35">+BM39+SUM(BK40:BL40)</f>
        <v>15</v>
      </c>
      <c r="BO40" s="16"/>
      <c r="BP40" s="16"/>
      <c r="BQ40" s="16"/>
      <c r="BS40" s="15"/>
      <c r="BT40" s="15"/>
      <c r="BU40" s="2">
        <f t="shared" si="34"/>
        <v>0</v>
      </c>
      <c r="BW40" s="12" t="s">
        <v>124</v>
      </c>
      <c r="BX40" s="12"/>
      <c r="BY40" s="12"/>
      <c r="CE40" s="92"/>
      <c r="CF40" s="95"/>
      <c r="CG40" s="95" t="s">
        <v>84</v>
      </c>
      <c r="CH40" s="112" t="s">
        <v>85</v>
      </c>
      <c r="CI40" s="103"/>
      <c r="CJ40" s="95"/>
      <c r="CK40" s="95" t="s">
        <v>84</v>
      </c>
      <c r="CL40" s="112" t="s">
        <v>85</v>
      </c>
      <c r="CM40" s="103"/>
      <c r="CN40" s="95"/>
      <c r="CO40" s="112" t="s">
        <v>84</v>
      </c>
      <c r="CP40" s="112" t="s">
        <v>85</v>
      </c>
      <c r="CR40" s="73" t="s">
        <v>36</v>
      </c>
      <c r="CX40" s="66">
        <f>+CT9+CX9+CT16+CX17+CT23+CX23+CT30+CT37</f>
        <v>1215.27</v>
      </c>
    </row>
    <row r="41" spans="1:102" ht="17.25" thickTop="1" thickBot="1" x14ac:dyDescent="0.3">
      <c r="AJ41" s="16"/>
      <c r="AK41" s="16"/>
      <c r="AQ41" s="16"/>
      <c r="AR41" s="16"/>
      <c r="AS41" s="16"/>
      <c r="AT41" s="20"/>
      <c r="BG41" s="22"/>
      <c r="BH41" s="22"/>
      <c r="BI41" s="22"/>
      <c r="BK41" s="15"/>
      <c r="BL41" s="15"/>
      <c r="BM41" s="2">
        <f t="shared" si="35"/>
        <v>15</v>
      </c>
      <c r="BO41" s="16"/>
      <c r="BP41" s="16"/>
      <c r="BQ41" s="16"/>
      <c r="BS41" s="16"/>
      <c r="BT41" s="16"/>
      <c r="BU41" s="16"/>
      <c r="BW41" s="29" t="str">
        <f>+AJ37</f>
        <v>Interest Income</v>
      </c>
      <c r="BX41" s="12"/>
      <c r="BY41" s="31">
        <f>-AK37</f>
        <v>0</v>
      </c>
      <c r="CE41" s="93" t="s">
        <v>27</v>
      </c>
      <c r="CF41" s="96" t="s">
        <v>86</v>
      </c>
      <c r="CG41" s="96" t="s">
        <v>87</v>
      </c>
      <c r="CH41" s="113" t="s">
        <v>87</v>
      </c>
      <c r="CI41" s="103"/>
      <c r="CJ41" s="96" t="s">
        <v>86</v>
      </c>
      <c r="CK41" s="96" t="s">
        <v>87</v>
      </c>
      <c r="CL41" s="113" t="s">
        <v>87</v>
      </c>
      <c r="CM41" s="103"/>
      <c r="CN41" s="96" t="s">
        <v>86</v>
      </c>
      <c r="CO41" s="113" t="s">
        <v>87</v>
      </c>
      <c r="CP41" s="113" t="s">
        <v>87</v>
      </c>
    </row>
    <row r="42" spans="1:102" ht="15.75" x14ac:dyDescent="0.25">
      <c r="AQ42" s="16"/>
      <c r="AR42" s="16"/>
      <c r="AS42" s="16"/>
      <c r="AT42" s="20"/>
      <c r="BG42" s="51"/>
      <c r="BH42" s="23"/>
      <c r="BI42" s="52"/>
      <c r="BO42" s="16"/>
      <c r="BP42" s="16"/>
      <c r="BQ42" s="16"/>
      <c r="BS42" s="16"/>
      <c r="BT42" s="16"/>
      <c r="BU42" s="16"/>
      <c r="BW42" s="12" t="s">
        <v>75</v>
      </c>
      <c r="BX42" s="12"/>
      <c r="BY42" s="143">
        <f>+SUM(BY39:BY41)</f>
        <v>-6316.6</v>
      </c>
      <c r="CE42" s="91">
        <v>42736</v>
      </c>
      <c r="CF42" s="94"/>
      <c r="CG42" s="97"/>
      <c r="CH42" s="102"/>
      <c r="CI42" s="103"/>
      <c r="CJ42" s="98"/>
      <c r="CK42" s="97"/>
      <c r="CL42" s="104"/>
      <c r="CM42" s="103"/>
      <c r="CN42" s="99">
        <v>1</v>
      </c>
      <c r="CO42" s="101">
        <v>328</v>
      </c>
      <c r="CP42" s="101">
        <f>CN42*CO42</f>
        <v>328</v>
      </c>
    </row>
    <row r="43" spans="1:102" ht="15.75" x14ac:dyDescent="0.25">
      <c r="AQ43" s="16"/>
      <c r="AR43" s="16"/>
      <c r="AS43" s="16"/>
      <c r="AT43" s="20"/>
      <c r="BG43" s="24"/>
      <c r="BH43" s="24"/>
      <c r="BI43" s="52"/>
      <c r="BO43" s="16"/>
      <c r="BP43" s="16"/>
      <c r="BQ43" s="16"/>
      <c r="BS43" s="16"/>
      <c r="BT43" s="16"/>
      <c r="BU43" s="16"/>
      <c r="CE43" s="82"/>
      <c r="CF43" s="83"/>
      <c r="CG43" s="84"/>
      <c r="CH43" s="106"/>
      <c r="CI43" s="103"/>
      <c r="CJ43" s="85">
        <v>1</v>
      </c>
      <c r="CK43" s="84">
        <v>328</v>
      </c>
      <c r="CL43" s="107">
        <f>CJ43*CK43</f>
        <v>328</v>
      </c>
      <c r="CM43" s="103"/>
      <c r="CN43" s="86">
        <f>CN42-CJ43</f>
        <v>0</v>
      </c>
      <c r="CO43" s="105">
        <f>+CO42</f>
        <v>328</v>
      </c>
      <c r="CP43" s="105">
        <f>CN43*CO43</f>
        <v>0</v>
      </c>
    </row>
    <row r="44" spans="1:102" ht="18.75" x14ac:dyDescent="0.3">
      <c r="AQ44" s="24"/>
      <c r="AR44" s="24"/>
      <c r="AS44" s="75"/>
      <c r="AT44" s="20"/>
      <c r="BG44" s="24"/>
      <c r="BH44" s="24"/>
      <c r="BI44" s="52"/>
      <c r="BO44" s="16"/>
      <c r="BP44" s="16"/>
      <c r="BQ44" s="16"/>
      <c r="BS44" s="16"/>
      <c r="BT44" s="16"/>
      <c r="BU44" s="16"/>
      <c r="BW44" s="80" t="s">
        <v>25</v>
      </c>
      <c r="BX44" s="80"/>
      <c r="BY44" s="80"/>
      <c r="CE44" s="82"/>
      <c r="CF44" s="83"/>
      <c r="CG44" s="84"/>
      <c r="CH44" s="106"/>
      <c r="CI44" s="103"/>
      <c r="CJ44" s="85"/>
      <c r="CK44" s="84"/>
      <c r="CL44" s="107"/>
      <c r="CM44" s="103"/>
      <c r="CN44" s="86"/>
      <c r="CO44" s="105"/>
      <c r="CP44" s="105"/>
    </row>
    <row r="45" spans="1:102" x14ac:dyDescent="0.25">
      <c r="AQ45" s="24"/>
      <c r="AR45" s="24"/>
      <c r="AS45" s="75"/>
      <c r="AT45" s="20"/>
      <c r="BC45" s="16"/>
      <c r="BD45" s="16"/>
      <c r="BE45" s="16"/>
      <c r="BG45" s="25"/>
      <c r="BH45" s="25"/>
      <c r="BI45" s="25"/>
      <c r="BW45" s="12" t="s">
        <v>76</v>
      </c>
      <c r="BX45" s="12"/>
      <c r="BY45" s="12">
        <f>-AK22-BX46</f>
        <v>85397</v>
      </c>
      <c r="CE45" s="82"/>
      <c r="CF45" s="83"/>
      <c r="CG45" s="84"/>
      <c r="CH45" s="106"/>
      <c r="CI45" s="103"/>
      <c r="CJ45" s="85"/>
      <c r="CK45" s="84"/>
      <c r="CL45" s="107"/>
      <c r="CM45" s="103"/>
      <c r="CN45" s="86"/>
      <c r="CO45" s="105"/>
      <c r="CP45" s="105"/>
    </row>
    <row r="46" spans="1:102" x14ac:dyDescent="0.25">
      <c r="AQ46" s="26"/>
      <c r="AR46" s="26"/>
      <c r="AS46" s="26"/>
      <c r="BG46" s="21"/>
      <c r="BH46" s="21"/>
      <c r="BI46" s="21"/>
      <c r="BW46" s="12" t="s">
        <v>78</v>
      </c>
      <c r="BX46" s="12">
        <v>65000</v>
      </c>
      <c r="BY46" s="12"/>
      <c r="CE46" s="82"/>
      <c r="CF46" s="83"/>
      <c r="CG46" s="84"/>
      <c r="CH46" s="106"/>
      <c r="CI46" s="103"/>
      <c r="CJ46" s="85"/>
      <c r="CK46" s="84"/>
      <c r="CL46" s="107"/>
      <c r="CM46" s="103"/>
      <c r="CN46" s="86"/>
      <c r="CO46" s="105"/>
      <c r="CP46" s="105"/>
    </row>
    <row r="47" spans="1:102" x14ac:dyDescent="0.25">
      <c r="AP47" s="26"/>
      <c r="AQ47" s="26"/>
      <c r="AR47" s="26"/>
      <c r="AS47" s="26"/>
      <c r="AT47" s="26"/>
      <c r="AX47" s="16"/>
      <c r="BG47" s="22"/>
      <c r="BH47" s="22"/>
      <c r="BI47" s="22"/>
      <c r="BW47" s="12" t="s">
        <v>75</v>
      </c>
      <c r="BX47" s="142">
        <f>BY42</f>
        <v>-6316.6</v>
      </c>
      <c r="BY47" s="12"/>
      <c r="CE47" s="82"/>
      <c r="CF47" s="83"/>
      <c r="CG47" s="84"/>
      <c r="CH47" s="106"/>
      <c r="CI47" s="103"/>
      <c r="CJ47" s="85"/>
      <c r="CK47" s="84"/>
      <c r="CL47" s="107"/>
      <c r="CM47" s="103"/>
      <c r="CN47" s="86"/>
      <c r="CO47" s="105"/>
      <c r="CP47" s="105"/>
    </row>
    <row r="48" spans="1:102" ht="15.75" x14ac:dyDescent="0.25">
      <c r="AP48" s="26"/>
      <c r="AT48" s="26"/>
      <c r="AX48" s="16"/>
      <c r="BG48" s="51"/>
      <c r="BH48" s="23"/>
      <c r="BI48" s="52"/>
      <c r="BW48" s="12" t="s">
        <v>26</v>
      </c>
      <c r="BX48" s="31">
        <f>-AK21</f>
        <v>0</v>
      </c>
      <c r="BY48" s="12"/>
      <c r="CE48" s="82"/>
      <c r="CF48" s="83"/>
      <c r="CG48" s="84"/>
      <c r="CH48" s="106"/>
      <c r="CI48" s="103"/>
      <c r="CJ48" s="85"/>
      <c r="CK48" s="84"/>
      <c r="CL48" s="107"/>
      <c r="CM48" s="103"/>
      <c r="CN48" s="86"/>
      <c r="CO48" s="105"/>
      <c r="CP48" s="105"/>
    </row>
    <row r="49" spans="42:94" ht="15.75" x14ac:dyDescent="0.25">
      <c r="AP49" s="26"/>
      <c r="AT49" s="26"/>
      <c r="AX49" s="16"/>
      <c r="BG49" s="24"/>
      <c r="BH49" s="24"/>
      <c r="BI49" s="52"/>
      <c r="BW49" s="12" t="s">
        <v>125</v>
      </c>
      <c r="BX49" s="12"/>
      <c r="BY49" s="31">
        <f>SUM(BX46:BX48)</f>
        <v>58683.4</v>
      </c>
      <c r="CE49" s="82"/>
      <c r="CF49" s="83"/>
      <c r="CG49" s="84"/>
      <c r="CH49" s="106"/>
      <c r="CI49" s="103"/>
      <c r="CJ49" s="85"/>
      <c r="CK49" s="84"/>
      <c r="CL49" s="107"/>
      <c r="CM49" s="103"/>
      <c r="CN49" s="86"/>
      <c r="CO49" s="105"/>
      <c r="CP49" s="105"/>
    </row>
    <row r="50" spans="42:94" ht="16.5" thickBot="1" x14ac:dyDescent="0.3">
      <c r="BG50" s="24"/>
      <c r="BH50" s="24"/>
      <c r="BI50" s="52"/>
      <c r="BW50" s="12" t="s">
        <v>79</v>
      </c>
      <c r="BX50" s="12"/>
      <c r="BY50" s="143">
        <f>SUM(BY45:BY49)</f>
        <v>144080.4</v>
      </c>
      <c r="CE50" s="82"/>
      <c r="CF50" s="87"/>
      <c r="CG50" s="88"/>
      <c r="CH50" s="108"/>
      <c r="CI50" s="103"/>
      <c r="CJ50" s="89"/>
      <c r="CK50" s="115"/>
      <c r="CL50" s="109"/>
      <c r="CM50" s="103"/>
      <c r="CN50" s="90"/>
      <c r="CO50" s="110"/>
      <c r="CP50" s="110"/>
    </row>
    <row r="51" spans="42:94" ht="17.25" thickTop="1" thickBot="1" x14ac:dyDescent="0.3">
      <c r="AU51" s="26"/>
      <c r="AV51" s="16"/>
      <c r="AW51" s="16"/>
      <c r="BG51" s="24"/>
      <c r="BH51" s="24"/>
      <c r="BI51" s="52"/>
      <c r="CH51" s="111"/>
      <c r="CI51" s="111"/>
      <c r="CL51" s="111"/>
      <c r="CM51" s="111"/>
      <c r="CP51" s="111"/>
    </row>
    <row r="52" spans="42:94" ht="15.75" thickBot="1" x14ac:dyDescent="0.3">
      <c r="AU52" s="26"/>
      <c r="AV52" s="16"/>
      <c r="AW52" s="16"/>
      <c r="CE52" s="100" t="s">
        <v>92</v>
      </c>
      <c r="CF52" s="254" t="s">
        <v>81</v>
      </c>
      <c r="CG52" s="255"/>
      <c r="CH52" s="256"/>
      <c r="CI52" s="103"/>
      <c r="CJ52" s="257" t="s">
        <v>82</v>
      </c>
      <c r="CK52" s="258"/>
      <c r="CL52" s="259"/>
      <c r="CM52" s="103"/>
      <c r="CN52" s="260" t="s">
        <v>83</v>
      </c>
      <c r="CO52" s="261"/>
      <c r="CP52" s="262"/>
    </row>
    <row r="53" spans="42:94" x14ac:dyDescent="0.25">
      <c r="AU53" s="26"/>
      <c r="AV53" s="16"/>
      <c r="AW53" s="16"/>
      <c r="CE53" s="92"/>
      <c r="CF53" s="95"/>
      <c r="CG53" s="95" t="s">
        <v>84</v>
      </c>
      <c r="CH53" s="112" t="s">
        <v>85</v>
      </c>
      <c r="CI53" s="103"/>
      <c r="CJ53" s="95"/>
      <c r="CK53" s="95" t="s">
        <v>84</v>
      </c>
      <c r="CL53" s="112" t="s">
        <v>85</v>
      </c>
      <c r="CM53" s="103"/>
      <c r="CN53" s="95"/>
      <c r="CO53" s="112" t="s">
        <v>84</v>
      </c>
      <c r="CP53" s="112" t="s">
        <v>85</v>
      </c>
    </row>
    <row r="54" spans="42:94" ht="15.75" thickBot="1" x14ac:dyDescent="0.3">
      <c r="CE54" s="93" t="s">
        <v>27</v>
      </c>
      <c r="CF54" s="96" t="s">
        <v>86</v>
      </c>
      <c r="CG54" s="96" t="s">
        <v>87</v>
      </c>
      <c r="CH54" s="113" t="s">
        <v>87</v>
      </c>
      <c r="CI54" s="103"/>
      <c r="CJ54" s="96" t="s">
        <v>86</v>
      </c>
      <c r="CK54" s="96" t="s">
        <v>87</v>
      </c>
      <c r="CL54" s="113" t="s">
        <v>87</v>
      </c>
      <c r="CM54" s="103"/>
      <c r="CN54" s="96" t="s">
        <v>86</v>
      </c>
      <c r="CO54" s="113" t="s">
        <v>87</v>
      </c>
      <c r="CP54" s="113" t="s">
        <v>87</v>
      </c>
    </row>
    <row r="55" spans="42:94" x14ac:dyDescent="0.25">
      <c r="AY55" s="21"/>
      <c r="AZ55" s="21"/>
      <c r="BA55" s="21"/>
      <c r="BK55" s="21"/>
      <c r="BL55" s="21"/>
      <c r="BM55" s="21"/>
      <c r="BO55" s="21"/>
      <c r="BP55" s="21"/>
      <c r="BQ55" s="21"/>
      <c r="BS55" s="21"/>
      <c r="BT55" s="21"/>
      <c r="BU55" s="21"/>
      <c r="CE55" s="91">
        <v>42736</v>
      </c>
      <c r="CF55" s="94"/>
      <c r="CG55" s="97"/>
      <c r="CH55" s="102"/>
      <c r="CI55" s="103"/>
      <c r="CJ55" s="98"/>
      <c r="CK55" s="97"/>
      <c r="CL55" s="104"/>
      <c r="CM55" s="103"/>
      <c r="CN55" s="99">
        <v>2</v>
      </c>
      <c r="CO55" s="101">
        <v>304</v>
      </c>
      <c r="CP55" s="101">
        <f>CN55*CO55</f>
        <v>608</v>
      </c>
    </row>
    <row r="56" spans="42:94" ht="15.75" customHeight="1" x14ac:dyDescent="0.25">
      <c r="AY56" s="22"/>
      <c r="AZ56" s="22"/>
      <c r="BA56" s="22"/>
      <c r="BK56" s="22"/>
      <c r="BL56" s="22"/>
      <c r="BM56" s="22"/>
      <c r="BO56" s="22"/>
      <c r="BP56" s="22"/>
      <c r="BQ56" s="22"/>
      <c r="BS56" s="22"/>
      <c r="BT56" s="22"/>
      <c r="BU56" s="22"/>
      <c r="CE56" s="82"/>
      <c r="CF56" s="83"/>
      <c r="CG56" s="84"/>
      <c r="CH56" s="106"/>
      <c r="CI56" s="103"/>
      <c r="CJ56" s="85">
        <v>1</v>
      </c>
      <c r="CK56" s="84">
        <v>304</v>
      </c>
      <c r="CL56" s="107">
        <f>CJ56*CK56</f>
        <v>304</v>
      </c>
      <c r="CM56" s="103"/>
      <c r="CN56" s="86">
        <f>CN55-CJ56</f>
        <v>1</v>
      </c>
      <c r="CO56" s="105">
        <f>+CO55</f>
        <v>304</v>
      </c>
      <c r="CP56" s="105">
        <f>CN56*CO56</f>
        <v>304</v>
      </c>
    </row>
    <row r="57" spans="42:94" ht="15.75" x14ac:dyDescent="0.25">
      <c r="AY57" s="51"/>
      <c r="AZ57" s="23"/>
      <c r="BA57" s="52"/>
      <c r="BK57" s="51"/>
      <c r="BL57" s="23"/>
      <c r="BM57" s="52"/>
      <c r="BO57" s="51"/>
      <c r="BP57" s="23"/>
      <c r="BQ57" s="52"/>
      <c r="BS57" s="51"/>
      <c r="BT57" s="23"/>
      <c r="BU57" s="52"/>
      <c r="CE57" s="82"/>
      <c r="CF57" s="83"/>
      <c r="CG57" s="84"/>
      <c r="CH57" s="106"/>
      <c r="CI57" s="103"/>
      <c r="CJ57" s="85"/>
      <c r="CK57" s="84"/>
      <c r="CL57" s="107"/>
      <c r="CM57" s="103"/>
      <c r="CN57" s="86"/>
      <c r="CO57" s="105"/>
      <c r="CP57" s="105"/>
    </row>
    <row r="58" spans="42:94" ht="15.75" x14ac:dyDescent="0.25">
      <c r="AY58" s="24"/>
      <c r="AZ58" s="24"/>
      <c r="BA58" s="52"/>
      <c r="BC58" s="21"/>
      <c r="BD58" s="21"/>
      <c r="BE58" s="21"/>
      <c r="BK58" s="24"/>
      <c r="BL58" s="24"/>
      <c r="BM58" s="52"/>
      <c r="BO58" s="24"/>
      <c r="BP58" s="24"/>
      <c r="BQ58" s="52"/>
      <c r="BS58" s="24"/>
      <c r="BT58" s="24"/>
      <c r="BU58" s="52"/>
      <c r="CE58" s="82"/>
      <c r="CF58" s="83"/>
      <c r="CG58" s="84"/>
      <c r="CH58" s="106"/>
      <c r="CI58" s="103"/>
      <c r="CJ58" s="85"/>
      <c r="CK58" s="84"/>
      <c r="CL58" s="107"/>
      <c r="CM58" s="103"/>
      <c r="CN58" s="86"/>
      <c r="CO58" s="105"/>
      <c r="CP58" s="105"/>
    </row>
    <row r="59" spans="42:94" ht="15.75" x14ac:dyDescent="0.25">
      <c r="AY59" s="24"/>
      <c r="AZ59" s="24"/>
      <c r="BA59" s="52"/>
      <c r="BC59" s="22"/>
      <c r="BD59" s="22"/>
      <c r="BE59" s="22"/>
      <c r="BK59" s="24"/>
      <c r="BL59" s="24"/>
      <c r="BM59" s="52"/>
      <c r="BO59" s="24"/>
      <c r="BP59" s="24"/>
      <c r="BQ59" s="52"/>
      <c r="BS59" s="24"/>
      <c r="BT59" s="24"/>
      <c r="BU59" s="52"/>
      <c r="CE59" s="82"/>
      <c r="CF59" s="83"/>
      <c r="CG59" s="84"/>
      <c r="CH59" s="106"/>
      <c r="CI59" s="103"/>
      <c r="CJ59" s="85"/>
      <c r="CK59" s="84"/>
      <c r="CL59" s="107"/>
      <c r="CM59" s="103"/>
      <c r="CN59" s="86"/>
      <c r="CO59" s="105"/>
      <c r="CP59" s="105"/>
    </row>
    <row r="60" spans="42:94" ht="15.75" x14ac:dyDescent="0.25">
      <c r="AY60" s="25"/>
      <c r="AZ60" s="25"/>
      <c r="BA60" s="25"/>
      <c r="BC60" s="51"/>
      <c r="BD60" s="23"/>
      <c r="BE60" s="52"/>
      <c r="BK60" s="25"/>
      <c r="BL60" s="25"/>
      <c r="BM60" s="25"/>
      <c r="BO60" s="25"/>
      <c r="BP60" s="25"/>
      <c r="BQ60" s="25"/>
      <c r="BS60" s="25"/>
      <c r="BT60" s="25"/>
      <c r="BU60" s="25"/>
      <c r="CE60" s="82"/>
      <c r="CF60" s="83"/>
      <c r="CG60" s="84"/>
      <c r="CH60" s="106"/>
      <c r="CI60" s="103"/>
      <c r="CJ60" s="85"/>
      <c r="CK60" s="84"/>
      <c r="CL60" s="107"/>
      <c r="CM60" s="103"/>
      <c r="CN60" s="86"/>
      <c r="CO60" s="105"/>
      <c r="CP60" s="105"/>
    </row>
    <row r="61" spans="42:94" ht="16.5" thickBot="1" x14ac:dyDescent="0.3">
      <c r="AY61" s="21"/>
      <c r="AZ61" s="21"/>
      <c r="BA61" s="21"/>
      <c r="BC61" s="24"/>
      <c r="BD61" s="24"/>
      <c r="BE61" s="52"/>
      <c r="BK61" s="21"/>
      <c r="BL61" s="21"/>
      <c r="BM61" s="21"/>
      <c r="BO61" s="21"/>
      <c r="BP61" s="21"/>
      <c r="BQ61" s="21"/>
      <c r="BS61" s="21"/>
      <c r="BT61" s="21"/>
      <c r="BU61" s="21"/>
      <c r="CE61" s="82"/>
      <c r="CF61" s="87"/>
      <c r="CG61" s="88"/>
      <c r="CH61" s="108"/>
      <c r="CI61" s="103"/>
      <c r="CJ61" s="89"/>
      <c r="CK61" s="115"/>
      <c r="CL61" s="109"/>
      <c r="CM61" s="103"/>
      <c r="CN61" s="90"/>
      <c r="CO61" s="110"/>
      <c r="CP61" s="110"/>
    </row>
    <row r="62" spans="42:94" ht="17.25" thickTop="1" thickBot="1" x14ac:dyDescent="0.3">
      <c r="AY62" s="22"/>
      <c r="AZ62" s="22"/>
      <c r="BA62" s="22"/>
      <c r="BC62" s="24"/>
      <c r="BD62" s="24"/>
      <c r="BE62" s="52"/>
      <c r="BK62" s="22"/>
      <c r="BL62" s="22"/>
      <c r="BM62" s="22"/>
      <c r="BO62" s="22"/>
      <c r="BP62" s="22"/>
      <c r="BQ62" s="22"/>
      <c r="BS62" s="22"/>
      <c r="BT62" s="22"/>
      <c r="BU62" s="22"/>
      <c r="CH62" s="111"/>
      <c r="CI62" s="111"/>
      <c r="CL62" s="111"/>
      <c r="CM62" s="111"/>
      <c r="CP62" s="111"/>
    </row>
    <row r="63" spans="42:94" ht="16.5" thickBot="1" x14ac:dyDescent="0.3">
      <c r="AY63" s="51"/>
      <c r="AZ63" s="23"/>
      <c r="BA63" s="52"/>
      <c r="BC63" s="25"/>
      <c r="BD63" s="25"/>
      <c r="BE63" s="25"/>
      <c r="BK63" s="51"/>
      <c r="BL63" s="23"/>
      <c r="BM63" s="52"/>
      <c r="BO63" s="51"/>
      <c r="BP63" s="23"/>
      <c r="BQ63" s="52"/>
      <c r="BS63" s="51"/>
      <c r="BT63" s="23"/>
      <c r="BU63" s="52"/>
      <c r="CE63" s="100" t="s">
        <v>93</v>
      </c>
      <c r="CF63" s="254" t="s">
        <v>81</v>
      </c>
      <c r="CG63" s="255"/>
      <c r="CH63" s="256"/>
      <c r="CI63" s="103"/>
      <c r="CJ63" s="257" t="s">
        <v>82</v>
      </c>
      <c r="CK63" s="258"/>
      <c r="CL63" s="259"/>
      <c r="CM63" s="103"/>
      <c r="CN63" s="260" t="s">
        <v>83</v>
      </c>
      <c r="CO63" s="261"/>
      <c r="CP63" s="262"/>
    </row>
    <row r="64" spans="42:94" ht="15.75" x14ac:dyDescent="0.25">
      <c r="AY64" s="24"/>
      <c r="AZ64" s="24"/>
      <c r="BA64" s="52"/>
      <c r="BC64" s="21"/>
      <c r="BD64" s="21"/>
      <c r="BE64" s="21"/>
      <c r="BK64" s="24"/>
      <c r="BL64" s="24"/>
      <c r="BM64" s="52"/>
      <c r="BO64" s="24"/>
      <c r="BP64" s="24"/>
      <c r="BQ64" s="52"/>
      <c r="BS64" s="24"/>
      <c r="BT64" s="24"/>
      <c r="BU64" s="52"/>
      <c r="CE64" s="92"/>
      <c r="CF64" s="95"/>
      <c r="CG64" s="95" t="s">
        <v>84</v>
      </c>
      <c r="CH64" s="112" t="s">
        <v>85</v>
      </c>
      <c r="CI64" s="103"/>
      <c r="CJ64" s="95"/>
      <c r="CK64" s="95" t="s">
        <v>84</v>
      </c>
      <c r="CL64" s="112" t="s">
        <v>85</v>
      </c>
      <c r="CM64" s="103"/>
      <c r="CN64" s="95"/>
      <c r="CO64" s="112" t="s">
        <v>84</v>
      </c>
      <c r="CP64" s="112" t="s">
        <v>85</v>
      </c>
    </row>
    <row r="65" spans="51:94" ht="16.5" thickBot="1" x14ac:dyDescent="0.3">
      <c r="AY65" s="24"/>
      <c r="AZ65" s="24"/>
      <c r="BA65" s="52"/>
      <c r="BC65" s="22"/>
      <c r="BD65" s="22"/>
      <c r="BE65" s="22"/>
      <c r="BK65" s="24"/>
      <c r="BL65" s="24"/>
      <c r="BM65" s="52"/>
      <c r="BO65" s="24"/>
      <c r="BP65" s="24"/>
      <c r="BQ65" s="52"/>
      <c r="BS65" s="24"/>
      <c r="BT65" s="24"/>
      <c r="BU65" s="52"/>
      <c r="CE65" s="93" t="s">
        <v>27</v>
      </c>
      <c r="CF65" s="96" t="s">
        <v>86</v>
      </c>
      <c r="CG65" s="96" t="s">
        <v>87</v>
      </c>
      <c r="CH65" s="113" t="s">
        <v>87</v>
      </c>
      <c r="CI65" s="103"/>
      <c r="CJ65" s="96" t="s">
        <v>86</v>
      </c>
      <c r="CK65" s="96" t="s">
        <v>87</v>
      </c>
      <c r="CL65" s="113" t="s">
        <v>87</v>
      </c>
      <c r="CM65" s="103"/>
      <c r="CN65" s="96" t="s">
        <v>86</v>
      </c>
      <c r="CO65" s="113" t="s">
        <v>87</v>
      </c>
      <c r="CP65" s="113" t="s">
        <v>87</v>
      </c>
    </row>
    <row r="66" spans="51:94" ht="15.75" x14ac:dyDescent="0.25">
      <c r="AY66" s="24"/>
      <c r="AZ66" s="24"/>
      <c r="BA66" s="52"/>
      <c r="BC66" s="51"/>
      <c r="BD66" s="23"/>
      <c r="BE66" s="52"/>
      <c r="BK66" s="24"/>
      <c r="BL66" s="24"/>
      <c r="BM66" s="52"/>
      <c r="BO66" s="24"/>
      <c r="BP66" s="24"/>
      <c r="BQ66" s="52"/>
      <c r="BS66" s="24"/>
      <c r="BT66" s="24"/>
      <c r="BU66" s="52"/>
      <c r="CE66" s="91">
        <v>42736</v>
      </c>
      <c r="CF66" s="94"/>
      <c r="CG66" s="97"/>
      <c r="CH66" s="102"/>
      <c r="CI66" s="103"/>
      <c r="CJ66" s="98"/>
      <c r="CK66" s="97"/>
      <c r="CL66" s="104"/>
      <c r="CM66" s="103"/>
      <c r="CN66" s="99">
        <v>2</v>
      </c>
      <c r="CO66" s="101">
        <v>320</v>
      </c>
      <c r="CP66" s="101">
        <f>CN66*CO66</f>
        <v>640</v>
      </c>
    </row>
    <row r="67" spans="51:94" ht="15.75" customHeight="1" x14ac:dyDescent="0.25">
      <c r="BC67" s="24"/>
      <c r="BD67" s="24"/>
      <c r="BE67" s="52"/>
      <c r="CE67" s="82"/>
      <c r="CF67" s="83"/>
      <c r="CG67" s="84"/>
      <c r="CH67" s="106"/>
      <c r="CI67" s="103"/>
      <c r="CJ67" s="85">
        <v>1</v>
      </c>
      <c r="CK67" s="84">
        <f>+CO66</f>
        <v>320</v>
      </c>
      <c r="CL67" s="107">
        <f>CJ67*CK67</f>
        <v>320</v>
      </c>
      <c r="CM67" s="103"/>
      <c r="CN67" s="86">
        <f>CN66-CJ67</f>
        <v>1</v>
      </c>
      <c r="CO67" s="105">
        <f>+CO66</f>
        <v>320</v>
      </c>
      <c r="CP67" s="105">
        <f>CN67*CO67</f>
        <v>320</v>
      </c>
    </row>
    <row r="68" spans="51:94" ht="15.75" x14ac:dyDescent="0.25">
      <c r="BC68" s="24"/>
      <c r="BD68" s="24"/>
      <c r="BE68" s="52"/>
      <c r="CE68" s="82"/>
      <c r="CF68" s="83"/>
      <c r="CG68" s="84"/>
      <c r="CH68" s="106"/>
      <c r="CI68" s="103"/>
      <c r="CJ68" s="85"/>
      <c r="CK68" s="84"/>
      <c r="CL68" s="107"/>
      <c r="CM68" s="103"/>
      <c r="CN68" s="86"/>
      <c r="CO68" s="105"/>
      <c r="CP68" s="105"/>
    </row>
    <row r="69" spans="51:94" ht="15.75" x14ac:dyDescent="0.25">
      <c r="BC69" s="24"/>
      <c r="BD69" s="24"/>
      <c r="BE69" s="52"/>
      <c r="CE69" s="82"/>
      <c r="CF69" s="83"/>
      <c r="CG69" s="84"/>
      <c r="CH69" s="106"/>
      <c r="CI69" s="103"/>
      <c r="CJ69" s="85"/>
      <c r="CK69" s="84"/>
      <c r="CL69" s="107"/>
      <c r="CM69" s="103"/>
      <c r="CN69" s="86"/>
      <c r="CO69" s="105"/>
      <c r="CP69" s="105"/>
    </row>
    <row r="70" spans="51:94" x14ac:dyDescent="0.25">
      <c r="BW70" s="12" t="s">
        <v>80</v>
      </c>
      <c r="BX70" s="12">
        <f>+BY42</f>
        <v>-6316.6</v>
      </c>
      <c r="BY70" s="12"/>
      <c r="CE70" s="82"/>
      <c r="CF70" s="83"/>
      <c r="CG70" s="84"/>
      <c r="CH70" s="106"/>
      <c r="CI70" s="103"/>
      <c r="CJ70" s="85"/>
      <c r="CK70" s="84"/>
      <c r="CL70" s="107"/>
      <c r="CM70" s="103"/>
      <c r="CN70" s="86"/>
      <c r="CO70" s="105"/>
      <c r="CP70" s="105"/>
    </row>
    <row r="71" spans="51:94" x14ac:dyDescent="0.25">
      <c r="BW71" s="12" t="s">
        <v>26</v>
      </c>
      <c r="BX71" s="12">
        <f>+AK21</f>
        <v>0</v>
      </c>
      <c r="BY71" s="12"/>
      <c r="CE71" s="82"/>
      <c r="CF71" s="83"/>
      <c r="CG71" s="84"/>
      <c r="CH71" s="106"/>
      <c r="CI71" s="103"/>
      <c r="CJ71" s="85"/>
      <c r="CK71" s="84"/>
      <c r="CL71" s="107"/>
      <c r="CM71" s="103"/>
      <c r="CN71" s="86"/>
      <c r="CO71" s="105"/>
      <c r="CP71" s="105"/>
    </row>
    <row r="72" spans="51:94" ht="15.75" thickBot="1" x14ac:dyDescent="0.3">
      <c r="BW72" s="12" t="s">
        <v>77</v>
      </c>
      <c r="BX72" s="12"/>
      <c r="BY72" s="12">
        <f>+BX46+BX70+BX71</f>
        <v>58683.4</v>
      </c>
      <c r="CE72" s="82"/>
      <c r="CF72" s="87"/>
      <c r="CG72" s="88"/>
      <c r="CH72" s="108"/>
      <c r="CI72" s="103"/>
      <c r="CJ72" s="89"/>
      <c r="CK72" s="115"/>
      <c r="CL72" s="109"/>
      <c r="CM72" s="103"/>
      <c r="CN72" s="90"/>
      <c r="CO72" s="110"/>
      <c r="CP72" s="110"/>
    </row>
    <row r="73" spans="51:94" ht="15.75" customHeight="1" thickTop="1" thickBot="1" x14ac:dyDescent="0.3">
      <c r="BW73" s="12" t="s">
        <v>79</v>
      </c>
      <c r="BX73" s="12"/>
      <c r="BY73" s="32">
        <f>BY45+BY72</f>
        <v>144080.4</v>
      </c>
    </row>
    <row r="74" spans="51:94" ht="15.75" thickBot="1" x14ac:dyDescent="0.3">
      <c r="CE74" s="100" t="s">
        <v>102</v>
      </c>
      <c r="CF74" s="254" t="s">
        <v>81</v>
      </c>
      <c r="CG74" s="255"/>
      <c r="CH74" s="256"/>
      <c r="CI74" s="103"/>
      <c r="CJ74" s="257" t="s">
        <v>82</v>
      </c>
      <c r="CK74" s="258"/>
      <c r="CL74" s="259"/>
      <c r="CM74" s="103"/>
      <c r="CN74" s="260" t="s">
        <v>83</v>
      </c>
      <c r="CO74" s="261"/>
      <c r="CP74" s="262"/>
    </row>
    <row r="75" spans="51:94" x14ac:dyDescent="0.25">
      <c r="CE75" s="92"/>
      <c r="CF75" s="95"/>
      <c r="CG75" s="95" t="s">
        <v>84</v>
      </c>
      <c r="CH75" s="112" t="s">
        <v>85</v>
      </c>
      <c r="CI75" s="103"/>
      <c r="CJ75" s="95"/>
      <c r="CK75" s="95" t="s">
        <v>84</v>
      </c>
      <c r="CL75" s="112" t="s">
        <v>85</v>
      </c>
      <c r="CM75" s="103"/>
      <c r="CN75" s="95"/>
      <c r="CO75" s="112" t="s">
        <v>84</v>
      </c>
      <c r="CP75" s="112" t="s">
        <v>85</v>
      </c>
    </row>
    <row r="76" spans="51:94" ht="15.75" thickBot="1" x14ac:dyDescent="0.3">
      <c r="CE76" s="93" t="s">
        <v>27</v>
      </c>
      <c r="CF76" s="96" t="s">
        <v>86</v>
      </c>
      <c r="CG76" s="96" t="s">
        <v>87</v>
      </c>
      <c r="CH76" s="113" t="s">
        <v>87</v>
      </c>
      <c r="CI76" s="103"/>
      <c r="CJ76" s="96" t="s">
        <v>86</v>
      </c>
      <c r="CK76" s="96" t="s">
        <v>87</v>
      </c>
      <c r="CL76" s="113" t="s">
        <v>87</v>
      </c>
      <c r="CM76" s="103"/>
      <c r="CN76" s="96" t="s">
        <v>86</v>
      </c>
      <c r="CO76" s="113" t="s">
        <v>87</v>
      </c>
      <c r="CP76" s="113" t="s">
        <v>87</v>
      </c>
    </row>
    <row r="77" spans="51:94" x14ac:dyDescent="0.25">
      <c r="CE77" s="91">
        <v>42760</v>
      </c>
      <c r="CF77" s="94">
        <v>1</v>
      </c>
      <c r="CG77" s="97">
        <v>598</v>
      </c>
      <c r="CH77" s="102">
        <f>CF77*CG77</f>
        <v>598</v>
      </c>
      <c r="CI77" s="103"/>
      <c r="CJ77" s="98"/>
      <c r="CK77" s="97"/>
      <c r="CL77" s="104"/>
      <c r="CM77" s="103"/>
      <c r="CN77" s="99">
        <f>CF77</f>
        <v>1</v>
      </c>
      <c r="CO77" s="101">
        <f>CG77</f>
        <v>598</v>
      </c>
      <c r="CP77" s="101">
        <f>CN77*CO77</f>
        <v>598</v>
      </c>
    </row>
    <row r="78" spans="51:94" x14ac:dyDescent="0.25">
      <c r="CE78" s="82">
        <v>42760</v>
      </c>
      <c r="CF78" s="83"/>
      <c r="CG78" s="84"/>
      <c r="CH78" s="106"/>
      <c r="CI78" s="103"/>
      <c r="CJ78" s="85">
        <v>1</v>
      </c>
      <c r="CK78" s="84">
        <f>CO77</f>
        <v>598</v>
      </c>
      <c r="CL78" s="107">
        <f>CJ78*CK78</f>
        <v>598</v>
      </c>
      <c r="CM78" s="103"/>
      <c r="CN78" s="86">
        <f>CN77-CJ78</f>
        <v>0</v>
      </c>
      <c r="CO78" s="105">
        <f>CO77</f>
        <v>598</v>
      </c>
      <c r="CP78" s="105">
        <f>CN78*CO78</f>
        <v>0</v>
      </c>
    </row>
    <row r="79" spans="51:94" x14ac:dyDescent="0.25">
      <c r="CE79" s="82"/>
      <c r="CF79" s="83"/>
      <c r="CG79" s="84"/>
      <c r="CH79" s="106"/>
      <c r="CI79" s="103"/>
      <c r="CJ79" s="85"/>
      <c r="CK79" s="84"/>
      <c r="CL79" s="107"/>
      <c r="CM79" s="103"/>
      <c r="CN79" s="86"/>
      <c r="CO79" s="105"/>
      <c r="CP79" s="105"/>
    </row>
    <row r="80" spans="51:94" x14ac:dyDescent="0.25">
      <c r="CE80" s="82"/>
      <c r="CF80" s="83"/>
      <c r="CG80" s="84"/>
      <c r="CH80" s="106"/>
      <c r="CI80" s="103"/>
      <c r="CJ80" s="85"/>
      <c r="CK80" s="84"/>
      <c r="CL80" s="107"/>
      <c r="CM80" s="103"/>
      <c r="CN80" s="86"/>
      <c r="CO80" s="105"/>
      <c r="CP80" s="105"/>
    </row>
    <row r="81" spans="43:94" x14ac:dyDescent="0.25">
      <c r="CE81" s="82"/>
      <c r="CF81" s="83"/>
      <c r="CG81" s="84"/>
      <c r="CH81" s="106"/>
      <c r="CI81" s="103"/>
      <c r="CJ81" s="85"/>
      <c r="CK81" s="84"/>
      <c r="CL81" s="107"/>
      <c r="CM81" s="103"/>
      <c r="CN81" s="86"/>
      <c r="CO81" s="105"/>
      <c r="CP81" s="105"/>
    </row>
    <row r="82" spans="43:94" x14ac:dyDescent="0.25">
      <c r="CE82" s="82"/>
      <c r="CF82" s="83"/>
      <c r="CG82" s="84"/>
      <c r="CH82" s="106"/>
      <c r="CI82" s="103"/>
      <c r="CJ82" s="85"/>
      <c r="CK82" s="84"/>
      <c r="CL82" s="107"/>
      <c r="CM82" s="103"/>
      <c r="CN82" s="86"/>
      <c r="CO82" s="105"/>
      <c r="CP82" s="105"/>
    </row>
    <row r="83" spans="43:94" ht="15.75" thickBot="1" x14ac:dyDescent="0.3">
      <c r="CE83" s="82"/>
      <c r="CF83" s="87"/>
      <c r="CG83" s="88"/>
      <c r="CH83" s="108"/>
      <c r="CI83" s="103"/>
      <c r="CJ83" s="89"/>
      <c r="CK83" s="115"/>
      <c r="CL83" s="109"/>
      <c r="CM83" s="103"/>
      <c r="CN83" s="90"/>
      <c r="CO83" s="110"/>
      <c r="CP83" s="110"/>
    </row>
    <row r="84" spans="43:94" ht="15.75" customHeight="1" thickTop="1" x14ac:dyDescent="0.25"/>
    <row r="85" spans="43:94" x14ac:dyDescent="0.25">
      <c r="CJ85" s="17" t="s">
        <v>85</v>
      </c>
      <c r="CP85" s="111">
        <f>CP8+CP20+CP31+CP43+CP56+CP67+CP78</f>
        <v>1944</v>
      </c>
    </row>
    <row r="88" spans="43:94" x14ac:dyDescent="0.25">
      <c r="AQ88" s="20"/>
      <c r="AR88" s="20"/>
      <c r="AS88" s="20"/>
    </row>
    <row r="95" spans="43:94" ht="15.75" customHeight="1" x14ac:dyDescent="0.25"/>
  </sheetData>
  <sheetProtection algorithmName="SHA-512" hashValue="0cleP6F9LCCYh4z0Iixfw60hWh9R9vU5fGoqkWASW8ALiuY8dTdAQcFtXvCaLvIv4j+j9XPntsnpK0iStogQ3Q==" saltValue="820kzCLFQ71R1/JHJCtcWw==" spinCount="100000" sheet="1" formatCells="0" formatColumns="0" formatRows="0" insertColumns="0" insertRows="0" insertHyperlinks="0" deleteColumns="0" deleteRows="0" selectLockedCells="1" sort="0" autoFilter="0" pivotTables="0"/>
  <mergeCells count="25">
    <mergeCell ref="CF63:CH63"/>
    <mergeCell ref="CJ63:CL63"/>
    <mergeCell ref="CN63:CP63"/>
    <mergeCell ref="CF74:CH74"/>
    <mergeCell ref="CJ74:CL74"/>
    <mergeCell ref="CN74:CP74"/>
    <mergeCell ref="CF52:CH52"/>
    <mergeCell ref="CJ52:CL52"/>
    <mergeCell ref="CN52:CP52"/>
    <mergeCell ref="CF28:CH28"/>
    <mergeCell ref="CJ28:CL28"/>
    <mergeCell ref="CN28:CP28"/>
    <mergeCell ref="CF39:CH39"/>
    <mergeCell ref="CJ39:CL39"/>
    <mergeCell ref="CN39:CP39"/>
    <mergeCell ref="CJ2:CL2"/>
    <mergeCell ref="CN2:CP2"/>
    <mergeCell ref="CF17:CH17"/>
    <mergeCell ref="CJ17:CL17"/>
    <mergeCell ref="CN17:CP17"/>
    <mergeCell ref="AL1:AM1"/>
    <mergeCell ref="AL2:AM2"/>
    <mergeCell ref="AK3:AK4"/>
    <mergeCell ref="AL3:AO3"/>
    <mergeCell ref="CF2:CH2"/>
  </mergeCells>
  <conditionalFormatting sqref="AK38">
    <cfRule type="cellIs" dxfId="20" priority="19" operator="lessThan">
      <formula>-1</formula>
    </cfRule>
    <cfRule type="cellIs" dxfId="19" priority="20" operator="greaterThan">
      <formula>1</formula>
    </cfRule>
    <cfRule type="cellIs" dxfId="18" priority="21" operator="between">
      <formula>-1</formula>
      <formula>1</formula>
    </cfRule>
  </conditionalFormatting>
  <conditionalFormatting sqref="AL3">
    <cfRule type="cellIs" dxfId="17" priority="22" operator="greaterThan">
      <formula>$AJ$2</formula>
    </cfRule>
    <cfRule type="cellIs" dxfId="16" priority="23" operator="lessThan">
      <formula>$AJ$2</formula>
    </cfRule>
    <cfRule type="cellIs" dxfId="15" priority="24" operator="lessThan">
      <formula>$AJ$2</formula>
    </cfRule>
  </conditionalFormatting>
  <conditionalFormatting sqref="AL3">
    <cfRule type="cellIs" dxfId="14" priority="25" operator="lessThan">
      <formula>$AJ$2</formula>
    </cfRule>
    <cfRule type="cellIs" dxfId="13" priority="26" operator="greaterThan">
      <formula>$AJ$2</formula>
    </cfRule>
    <cfRule type="cellIs" dxfId="12" priority="27" operator="equal">
      <formula>$AJ$2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95"/>
  <sheetViews>
    <sheetView zoomScale="120" zoomScaleNormal="120" workbookViewId="0">
      <selection activeCell="D29" sqref="D29"/>
    </sheetView>
  </sheetViews>
  <sheetFormatPr defaultRowHeight="15" x14ac:dyDescent="0.25"/>
  <cols>
    <col min="1" max="1" width="6.7109375" style="14" customWidth="1"/>
    <col min="2" max="2" width="25.5703125" style="17" customWidth="1"/>
    <col min="3" max="4" width="9.28515625" style="17" customWidth="1"/>
    <col min="5" max="5" width="1.140625" style="16" customWidth="1"/>
    <col min="6" max="6" width="26.5703125" style="17" customWidth="1"/>
    <col min="7" max="7" width="12.85546875" style="17" customWidth="1"/>
    <col min="8" max="8" width="11.7109375" style="16" customWidth="1"/>
    <col min="9" max="9" width="12.7109375" style="16" customWidth="1"/>
    <col min="10" max="16384" width="9.140625" style="16"/>
  </cols>
  <sheetData>
    <row r="1" spans="1:9" ht="23.25" x14ac:dyDescent="0.35">
      <c r="A1" s="144" t="s">
        <v>126</v>
      </c>
    </row>
    <row r="3" spans="1:9" x14ac:dyDescent="0.25">
      <c r="A3" s="42" t="s">
        <v>37</v>
      </c>
      <c r="B3" s="43"/>
      <c r="C3" s="43"/>
      <c r="D3" s="43"/>
      <c r="F3" s="70"/>
      <c r="G3" s="240" t="s">
        <v>30</v>
      </c>
      <c r="H3" s="240" t="s">
        <v>126</v>
      </c>
      <c r="I3" s="240" t="s">
        <v>127</v>
      </c>
    </row>
    <row r="4" spans="1:9" x14ac:dyDescent="0.25">
      <c r="A4" s="44" t="s">
        <v>27</v>
      </c>
      <c r="B4" s="44" t="s">
        <v>5</v>
      </c>
      <c r="C4" s="44" t="s">
        <v>6</v>
      </c>
      <c r="D4" s="44" t="s">
        <v>17</v>
      </c>
      <c r="F4" s="141" t="s">
        <v>5</v>
      </c>
      <c r="G4" s="241"/>
      <c r="H4" s="241"/>
      <c r="I4" s="241"/>
    </row>
    <row r="5" spans="1:9" ht="15.75" x14ac:dyDescent="0.25">
      <c r="A5" s="64"/>
      <c r="B5" s="4"/>
      <c r="C5" s="4"/>
      <c r="D5" s="4"/>
      <c r="F5" s="33" t="s">
        <v>39</v>
      </c>
      <c r="G5" s="47">
        <f>'Trial Balance'!AK5</f>
        <v>94342</v>
      </c>
      <c r="H5" s="148"/>
      <c r="I5" s="47">
        <f>SUM(G5:H5)</f>
        <v>94342</v>
      </c>
    </row>
    <row r="6" spans="1:9" ht="15.75" x14ac:dyDescent="0.25">
      <c r="A6" s="64"/>
      <c r="B6" s="117"/>
      <c r="C6" s="4"/>
      <c r="D6" s="4"/>
      <c r="F6" s="33" t="s">
        <v>1</v>
      </c>
      <c r="G6" s="47">
        <f>'Trial Balance'!AK6</f>
        <v>1215.27</v>
      </c>
      <c r="H6" s="148"/>
      <c r="I6" s="47">
        <f t="shared" ref="I6:I38" si="0">SUM(G6:H6)</f>
        <v>1215.27</v>
      </c>
    </row>
    <row r="7" spans="1:9" ht="15.75" x14ac:dyDescent="0.25">
      <c r="A7" s="64"/>
      <c r="B7" s="4"/>
      <c r="C7" s="4"/>
      <c r="D7" s="4"/>
      <c r="F7" s="33" t="s">
        <v>40</v>
      </c>
      <c r="G7" s="47">
        <f>'Trial Balance'!AK7</f>
        <v>1945</v>
      </c>
      <c r="H7" s="148"/>
      <c r="I7" s="47">
        <f t="shared" si="0"/>
        <v>1945</v>
      </c>
    </row>
    <row r="8" spans="1:9" ht="15.75" x14ac:dyDescent="0.25">
      <c r="A8" s="64"/>
      <c r="B8" s="4"/>
      <c r="C8" s="4"/>
      <c r="D8" s="4"/>
      <c r="F8" s="33" t="s">
        <v>18</v>
      </c>
      <c r="G8" s="47">
        <f>'Trial Balance'!AK8</f>
        <v>11000</v>
      </c>
      <c r="H8" s="148"/>
      <c r="I8" s="47">
        <f t="shared" si="0"/>
        <v>11000</v>
      </c>
    </row>
    <row r="9" spans="1:9" ht="15.75" x14ac:dyDescent="0.25">
      <c r="A9" s="64"/>
      <c r="B9" s="116"/>
      <c r="C9" s="4"/>
      <c r="D9" s="4"/>
      <c r="F9" s="33" t="s">
        <v>71</v>
      </c>
      <c r="G9" s="47">
        <f>'Trial Balance'!AK9</f>
        <v>12000</v>
      </c>
      <c r="H9" s="148"/>
      <c r="I9" s="47">
        <f t="shared" si="0"/>
        <v>12000</v>
      </c>
    </row>
    <row r="10" spans="1:9" ht="15.75" x14ac:dyDescent="0.25">
      <c r="A10" s="64"/>
      <c r="B10" s="4"/>
      <c r="C10" s="4"/>
      <c r="D10" s="4"/>
      <c r="F10" s="33" t="s">
        <v>101</v>
      </c>
      <c r="G10" s="47">
        <f>'Trial Balance'!AK10</f>
        <v>299.5</v>
      </c>
      <c r="H10" s="148"/>
      <c r="I10" s="47">
        <f t="shared" si="0"/>
        <v>299.5</v>
      </c>
    </row>
    <row r="11" spans="1:9" ht="15.75" x14ac:dyDescent="0.25">
      <c r="A11" s="64"/>
      <c r="B11" s="4"/>
      <c r="C11" s="4"/>
      <c r="D11" s="4"/>
      <c r="F11" s="33" t="s">
        <v>9</v>
      </c>
      <c r="G11" s="47">
        <f>'Trial Balance'!AK11</f>
        <v>0</v>
      </c>
      <c r="H11" s="148"/>
      <c r="I11" s="47">
        <f t="shared" si="0"/>
        <v>0</v>
      </c>
    </row>
    <row r="12" spans="1:9" ht="15.75" x14ac:dyDescent="0.25">
      <c r="A12" s="64"/>
      <c r="B12" s="116"/>
      <c r="C12" s="4"/>
      <c r="D12" s="4"/>
      <c r="F12" s="33" t="s">
        <v>69</v>
      </c>
      <c r="G12" s="47">
        <f>'Trial Balance'!AK12</f>
        <v>98000</v>
      </c>
      <c r="H12" s="148"/>
      <c r="I12" s="47">
        <f t="shared" si="0"/>
        <v>98000</v>
      </c>
    </row>
    <row r="13" spans="1:9" ht="15.75" x14ac:dyDescent="0.25">
      <c r="A13" s="64"/>
      <c r="B13" s="4"/>
      <c r="C13" s="4"/>
      <c r="D13" s="4"/>
      <c r="F13" s="34" t="s">
        <v>2</v>
      </c>
      <c r="G13" s="7">
        <f>'Trial Balance'!AK13</f>
        <v>0</v>
      </c>
      <c r="H13" s="148"/>
      <c r="I13" s="145">
        <f t="shared" si="0"/>
        <v>0</v>
      </c>
    </row>
    <row r="14" spans="1:9" ht="15.75" x14ac:dyDescent="0.25">
      <c r="A14" s="64"/>
      <c r="B14" s="4"/>
      <c r="C14" s="4"/>
      <c r="D14" s="4"/>
      <c r="F14" s="34" t="s">
        <v>41</v>
      </c>
      <c r="G14" s="7">
        <f>'Trial Balance'!AK14</f>
        <v>-1000</v>
      </c>
      <c r="H14" s="148"/>
      <c r="I14" s="145">
        <f t="shared" si="0"/>
        <v>-1000</v>
      </c>
    </row>
    <row r="15" spans="1:9" ht="15.75" x14ac:dyDescent="0.25">
      <c r="A15" s="64">
        <v>42766</v>
      </c>
      <c r="B15" s="4" t="s">
        <v>45</v>
      </c>
      <c r="C15" s="4">
        <v>2467</v>
      </c>
      <c r="D15" s="4"/>
      <c r="F15" s="34" t="s">
        <v>42</v>
      </c>
      <c r="G15" s="7">
        <f>'Trial Balance'!AK15</f>
        <v>0</v>
      </c>
      <c r="H15" s="148"/>
      <c r="I15" s="145">
        <f t="shared" si="0"/>
        <v>0</v>
      </c>
    </row>
    <row r="16" spans="1:9" ht="15.75" x14ac:dyDescent="0.25">
      <c r="A16" s="64"/>
      <c r="B16" s="4" t="s">
        <v>46</v>
      </c>
      <c r="C16" s="4">
        <v>508</v>
      </c>
      <c r="D16" s="4"/>
      <c r="F16" s="34" t="s">
        <v>58</v>
      </c>
      <c r="G16" s="7">
        <f>'Trial Balance'!AK16</f>
        <v>0</v>
      </c>
      <c r="H16" s="148"/>
      <c r="I16" s="145">
        <f t="shared" si="0"/>
        <v>0</v>
      </c>
    </row>
    <row r="17" spans="1:10" ht="16.5" customHeight="1" x14ac:dyDescent="0.25">
      <c r="A17" s="64"/>
      <c r="B17" s="116" t="s">
        <v>128</v>
      </c>
      <c r="C17" s="4"/>
      <c r="D17" s="4">
        <f>-SUM(C15:D16)</f>
        <v>-2975</v>
      </c>
      <c r="F17" s="34" t="s">
        <v>59</v>
      </c>
      <c r="G17" s="7">
        <f>'Trial Balance'!AK17</f>
        <v>-1598</v>
      </c>
      <c r="H17" s="148"/>
      <c r="I17" s="145">
        <f t="shared" si="0"/>
        <v>-1598</v>
      </c>
    </row>
    <row r="18" spans="1:10" ht="15.75" x14ac:dyDescent="0.25">
      <c r="A18" s="64"/>
      <c r="B18" s="4"/>
      <c r="C18" s="4"/>
      <c r="D18" s="4"/>
      <c r="F18" s="34" t="s">
        <v>61</v>
      </c>
      <c r="G18" s="7">
        <f>'Trial Balance'!AK18</f>
        <v>-123.37</v>
      </c>
      <c r="H18" s="148"/>
      <c r="I18" s="145">
        <f t="shared" si="0"/>
        <v>-123.37</v>
      </c>
    </row>
    <row r="19" spans="1:10" ht="16.149999999999999" customHeight="1" x14ac:dyDescent="0.25">
      <c r="A19" s="64">
        <v>42766</v>
      </c>
      <c r="B19" s="4" t="s">
        <v>128</v>
      </c>
      <c r="C19" s="4">
        <f>-SUM(C20:D24)</f>
        <v>9197</v>
      </c>
      <c r="D19" s="4"/>
      <c r="F19" s="34" t="s">
        <v>32</v>
      </c>
      <c r="G19" s="7">
        <f>'Trial Balance'!AK19</f>
        <v>0</v>
      </c>
      <c r="H19" s="148"/>
      <c r="I19" s="145">
        <f t="shared" si="0"/>
        <v>0</v>
      </c>
    </row>
    <row r="20" spans="1:10" ht="15.75" x14ac:dyDescent="0.25">
      <c r="A20" s="64"/>
      <c r="B20" s="116" t="s">
        <v>47</v>
      </c>
      <c r="C20" s="4"/>
      <c r="D20" s="4">
        <v>-1950</v>
      </c>
      <c r="F20" s="34" t="s">
        <v>56</v>
      </c>
      <c r="G20" s="7">
        <f>'Trial Balance'!AK20</f>
        <v>-72000</v>
      </c>
      <c r="H20" s="148"/>
      <c r="I20" s="145">
        <f t="shared" si="0"/>
        <v>-72000</v>
      </c>
    </row>
    <row r="21" spans="1:10" ht="15.75" x14ac:dyDescent="0.25">
      <c r="A21" s="64"/>
      <c r="B21" s="116" t="s">
        <v>51</v>
      </c>
      <c r="C21" s="4"/>
      <c r="D21" s="4">
        <v>-500</v>
      </c>
      <c r="F21" s="35" t="s">
        <v>43</v>
      </c>
      <c r="G21" s="8">
        <f>'Trial Balance'!AK21</f>
        <v>0</v>
      </c>
      <c r="H21" s="148"/>
      <c r="I21" s="146">
        <f t="shared" si="0"/>
        <v>0</v>
      </c>
    </row>
    <row r="22" spans="1:10" ht="15.75" x14ac:dyDescent="0.25">
      <c r="A22" s="64"/>
      <c r="B22" s="116" t="s">
        <v>52</v>
      </c>
      <c r="C22" s="4"/>
      <c r="D22" s="4">
        <v>-5767</v>
      </c>
      <c r="F22" s="35" t="s">
        <v>44</v>
      </c>
      <c r="G22" s="8">
        <f>'Trial Balance'!AK22</f>
        <v>-150397</v>
      </c>
      <c r="H22" s="12">
        <f>C26+C31</f>
        <v>6317</v>
      </c>
      <c r="I22" s="146">
        <f t="shared" si="0"/>
        <v>-144080</v>
      </c>
    </row>
    <row r="23" spans="1:10" ht="15.75" x14ac:dyDescent="0.25">
      <c r="A23" s="64"/>
      <c r="B23" s="116" t="s">
        <v>53</v>
      </c>
      <c r="C23" s="4"/>
      <c r="D23" s="4">
        <v>-360</v>
      </c>
      <c r="F23" s="35" t="s">
        <v>128</v>
      </c>
      <c r="G23" s="8">
        <v>0</v>
      </c>
      <c r="H23" s="12">
        <f>D17+C19+D27</f>
        <v>0</v>
      </c>
      <c r="I23" s="146">
        <f t="shared" si="0"/>
        <v>0</v>
      </c>
    </row>
    <row r="24" spans="1:10" ht="15.75" x14ac:dyDescent="0.25">
      <c r="A24" s="64"/>
      <c r="B24" s="116" t="s">
        <v>54</v>
      </c>
      <c r="C24" s="4"/>
      <c r="D24" s="4">
        <v>-620</v>
      </c>
      <c r="F24" s="36" t="s">
        <v>45</v>
      </c>
      <c r="G24" s="11">
        <f>'Trial Balance'!AK23</f>
        <v>-2467.4</v>
      </c>
      <c r="H24" s="12">
        <f>C15</f>
        <v>2467</v>
      </c>
      <c r="I24" s="147">
        <f t="shared" si="0"/>
        <v>-0.40000000000009095</v>
      </c>
    </row>
    <row r="25" spans="1:10" s="71" customFormat="1" ht="15.75" x14ac:dyDescent="0.25">
      <c r="A25" s="64"/>
      <c r="B25" s="4"/>
      <c r="C25" s="4"/>
      <c r="D25" s="4"/>
      <c r="E25" s="16"/>
      <c r="F25" s="36" t="s">
        <v>57</v>
      </c>
      <c r="G25" s="11">
        <f>'Trial Balance'!AK24</f>
        <v>0</v>
      </c>
      <c r="H25" s="148"/>
      <c r="I25" s="147">
        <f t="shared" si="0"/>
        <v>0</v>
      </c>
    </row>
    <row r="26" spans="1:10" s="72" customFormat="1" ht="15.75" x14ac:dyDescent="0.25">
      <c r="A26" s="64">
        <v>42766</v>
      </c>
      <c r="B26" s="4" t="s">
        <v>44</v>
      </c>
      <c r="C26" s="4">
        <f>-D27</f>
        <v>6222</v>
      </c>
      <c r="D26" s="4"/>
      <c r="E26" s="16"/>
      <c r="F26" s="36" t="s">
        <v>46</v>
      </c>
      <c r="G26" s="11">
        <f>'Trial Balance'!AK25</f>
        <v>-508</v>
      </c>
      <c r="H26" s="12">
        <f>C16</f>
        <v>508</v>
      </c>
      <c r="I26" s="147">
        <f t="shared" si="0"/>
        <v>0</v>
      </c>
    </row>
    <row r="27" spans="1:10" ht="18.600000000000001" customHeight="1" x14ac:dyDescent="0.25">
      <c r="A27" s="64"/>
      <c r="B27" s="116" t="s">
        <v>128</v>
      </c>
      <c r="C27" s="4"/>
      <c r="D27" s="4">
        <v>-6222</v>
      </c>
      <c r="F27" s="36" t="s">
        <v>47</v>
      </c>
      <c r="G27" s="11">
        <f>'Trial Balance'!AK26</f>
        <v>1950</v>
      </c>
      <c r="H27" s="12">
        <f>D20</f>
        <v>-1950</v>
      </c>
      <c r="I27" s="147">
        <f t="shared" si="0"/>
        <v>0</v>
      </c>
    </row>
    <row r="28" spans="1:10" ht="16.5" customHeight="1" x14ac:dyDescent="0.25">
      <c r="A28" s="64"/>
      <c r="B28" s="4"/>
      <c r="C28" s="4"/>
      <c r="D28" s="4"/>
      <c r="F28" s="36" t="s">
        <v>48</v>
      </c>
      <c r="G28" s="11">
        <f>'Trial Balance'!AK27</f>
        <v>15</v>
      </c>
      <c r="H28" s="12">
        <f>+D29</f>
        <v>-15</v>
      </c>
      <c r="I28" s="147">
        <f t="shared" si="0"/>
        <v>0</v>
      </c>
      <c r="J28" s="219"/>
    </row>
    <row r="29" spans="1:10" ht="15.75" x14ac:dyDescent="0.25">
      <c r="A29" s="64">
        <v>42766</v>
      </c>
      <c r="B29" s="4" t="s">
        <v>176</v>
      </c>
      <c r="C29" s="4"/>
      <c r="D29" s="4">
        <v>-15</v>
      </c>
      <c r="F29" s="36" t="s">
        <v>49</v>
      </c>
      <c r="G29" s="11">
        <f>'Trial Balance'!AK28</f>
        <v>0</v>
      </c>
      <c r="H29" s="148"/>
      <c r="I29" s="147">
        <f t="shared" si="0"/>
        <v>0</v>
      </c>
    </row>
    <row r="30" spans="1:10" s="19" customFormat="1" ht="15.75" x14ac:dyDescent="0.25">
      <c r="A30" s="64"/>
      <c r="B30" s="4" t="s">
        <v>183</v>
      </c>
      <c r="C30" s="4"/>
      <c r="D30" s="4">
        <v>-80</v>
      </c>
      <c r="E30" s="16"/>
      <c r="F30" s="36" t="s">
        <v>3</v>
      </c>
      <c r="G30" s="11">
        <f>'Trial Balance'!AK29</f>
        <v>0</v>
      </c>
      <c r="H30" s="148"/>
      <c r="I30" s="147">
        <f t="shared" si="0"/>
        <v>0</v>
      </c>
    </row>
    <row r="31" spans="1:10" ht="15.75" x14ac:dyDescent="0.25">
      <c r="A31" s="64"/>
      <c r="B31" s="4" t="s">
        <v>44</v>
      </c>
      <c r="C31" s="4">
        <f>-SUM(C29:D30)</f>
        <v>95</v>
      </c>
      <c r="D31" s="4"/>
      <c r="F31" s="36" t="s">
        <v>50</v>
      </c>
      <c r="G31" s="11">
        <f>'Trial Balance'!AK30</f>
        <v>0</v>
      </c>
      <c r="H31" s="148"/>
      <c r="I31" s="147">
        <f t="shared" si="0"/>
        <v>0</v>
      </c>
    </row>
    <row r="32" spans="1:10" ht="15.75" x14ac:dyDescent="0.25">
      <c r="A32" s="64"/>
      <c r="B32" s="4"/>
      <c r="C32" s="4"/>
      <c r="D32" s="4"/>
      <c r="F32" s="36" t="s">
        <v>62</v>
      </c>
      <c r="G32" s="11">
        <f>'Trial Balance'!AK31</f>
        <v>0</v>
      </c>
      <c r="H32" s="148"/>
      <c r="I32" s="147">
        <f t="shared" si="0"/>
        <v>0</v>
      </c>
    </row>
    <row r="33" spans="1:10" ht="15.75" x14ac:dyDescent="0.25">
      <c r="A33" s="64"/>
      <c r="B33" s="4"/>
      <c r="C33" s="4"/>
      <c r="D33" s="4"/>
      <c r="F33" s="36" t="s">
        <v>29</v>
      </c>
      <c r="G33" s="11">
        <f>'Trial Balance'!AK32</f>
        <v>80</v>
      </c>
      <c r="H33" s="12">
        <f>+D30</f>
        <v>-80</v>
      </c>
      <c r="I33" s="147">
        <f t="shared" si="0"/>
        <v>0</v>
      </c>
      <c r="J33" s="219"/>
    </row>
    <row r="34" spans="1:10" ht="15.75" x14ac:dyDescent="0.25">
      <c r="A34" s="64"/>
      <c r="B34" s="4"/>
      <c r="C34" s="4"/>
      <c r="D34" s="4"/>
      <c r="F34" s="36" t="s">
        <v>51</v>
      </c>
      <c r="G34" s="11">
        <f>'Trial Balance'!AK33</f>
        <v>500</v>
      </c>
      <c r="H34" s="12">
        <f>D21</f>
        <v>-500</v>
      </c>
      <c r="I34" s="147">
        <f t="shared" si="0"/>
        <v>0</v>
      </c>
    </row>
    <row r="35" spans="1:10" ht="15.75" x14ac:dyDescent="0.25">
      <c r="A35" s="64"/>
      <c r="B35" s="4"/>
      <c r="C35" s="4"/>
      <c r="D35" s="4"/>
      <c r="F35" s="36" t="s">
        <v>52</v>
      </c>
      <c r="G35" s="11">
        <f>'Trial Balance'!AK34</f>
        <v>5767</v>
      </c>
      <c r="H35" s="12">
        <f>D22</f>
        <v>-5767</v>
      </c>
      <c r="I35" s="147">
        <f t="shared" si="0"/>
        <v>0</v>
      </c>
    </row>
    <row r="36" spans="1:10" ht="15.75" x14ac:dyDescent="0.25">
      <c r="A36" s="64"/>
      <c r="B36" s="4"/>
      <c r="C36" s="4"/>
      <c r="D36" s="4"/>
      <c r="F36" s="36" t="s">
        <v>53</v>
      </c>
      <c r="G36" s="11">
        <f>'Trial Balance'!AK35</f>
        <v>360</v>
      </c>
      <c r="H36" s="12">
        <f>D23</f>
        <v>-360</v>
      </c>
      <c r="I36" s="147">
        <f t="shared" si="0"/>
        <v>0</v>
      </c>
    </row>
    <row r="37" spans="1:10" ht="16.149999999999999" customHeight="1" x14ac:dyDescent="0.25">
      <c r="A37" s="64"/>
      <c r="B37" s="4"/>
      <c r="C37" s="4"/>
      <c r="D37" s="4"/>
      <c r="F37" s="36" t="s">
        <v>54</v>
      </c>
      <c r="G37" s="11">
        <f>'Trial Balance'!AK36</f>
        <v>620</v>
      </c>
      <c r="H37" s="12">
        <f>D24</f>
        <v>-620</v>
      </c>
      <c r="I37" s="147">
        <f t="shared" si="0"/>
        <v>0</v>
      </c>
    </row>
    <row r="38" spans="1:10" ht="15.75" x14ac:dyDescent="0.25">
      <c r="A38" s="64"/>
      <c r="B38" s="4"/>
      <c r="C38" s="4"/>
      <c r="D38" s="4"/>
      <c r="F38" s="36" t="s">
        <v>55</v>
      </c>
      <c r="G38" s="11">
        <f>'Trial Balance'!AK37</f>
        <v>0</v>
      </c>
      <c r="H38" s="148"/>
      <c r="I38" s="147">
        <f t="shared" si="0"/>
        <v>0</v>
      </c>
    </row>
    <row r="39" spans="1:10" ht="17.25" customHeight="1" thickBot="1" x14ac:dyDescent="0.3">
      <c r="A39" s="64"/>
      <c r="B39" s="4"/>
      <c r="C39" s="4"/>
      <c r="D39" s="4"/>
      <c r="F39" s="13" t="s">
        <v>28</v>
      </c>
      <c r="G39" s="10">
        <f>+SUM(G5:G38)</f>
        <v>2.3646862246096134E-11</v>
      </c>
      <c r="H39" s="10">
        <f>+SUM(H5:H38)</f>
        <v>0</v>
      </c>
      <c r="I39" s="10">
        <f>+SUM(I5:I38)</f>
        <v>2.319211489520967E-11</v>
      </c>
    </row>
    <row r="40" spans="1:10" ht="16.5" thickTop="1" x14ac:dyDescent="0.25">
      <c r="F40" s="67" t="s">
        <v>8</v>
      </c>
      <c r="G40" s="3">
        <f>SUM(G24:G38)</f>
        <v>6316.6</v>
      </c>
      <c r="H40" s="3">
        <f t="shared" ref="H40" si="1">SUM(H24:H38)</f>
        <v>-6317</v>
      </c>
      <c r="I40" s="3">
        <f>SUM(I24:I38)</f>
        <v>-0.40000000000009095</v>
      </c>
    </row>
    <row r="41" spans="1:10" x14ac:dyDescent="0.25">
      <c r="F41" s="16"/>
      <c r="G41" s="16"/>
    </row>
    <row r="42" spans="1:10" x14ac:dyDescent="0.25">
      <c r="F42" s="16"/>
      <c r="G42" s="16"/>
    </row>
    <row r="52" ht="15.75" customHeight="1" x14ac:dyDescent="0.25"/>
    <row r="56" ht="15.75" customHeight="1" x14ac:dyDescent="0.25"/>
    <row r="63" ht="16.5" customHeight="1" x14ac:dyDescent="0.25"/>
    <row r="67" ht="15.75" customHeight="1" x14ac:dyDescent="0.25"/>
    <row r="73" ht="15.75" customHeight="1" x14ac:dyDescent="0.25"/>
    <row r="74" ht="15.75" customHeight="1" x14ac:dyDescent="0.25"/>
    <row r="84" ht="15.75" customHeight="1" x14ac:dyDescent="0.25"/>
    <row r="95" ht="15.75" customHeight="1" x14ac:dyDescent="0.25"/>
  </sheetData>
  <sheetProtection algorithmName="SHA-512" hashValue="9Y1trgLJLT7kAgQwVvV4mpvC/+K3GjeDrpR7+Nhpz+3ds2948mE9Rk9OWL5IdHA7hW9OshqjyO+iz5jlmkPFsA==" saltValue="nLJK3fGYup4tshxekeC9pA==" spinCount="100000" sheet="1" formatCells="0" formatColumns="0" formatRows="0" insertColumns="0" insertRows="0" insertHyperlinks="0" deleteColumns="0" deleteRows="0" selectLockedCells="1" sort="0" autoFilter="0" pivotTables="0"/>
  <mergeCells count="3">
    <mergeCell ref="I3:I4"/>
    <mergeCell ref="H3:H4"/>
    <mergeCell ref="G3:G4"/>
  </mergeCells>
  <conditionalFormatting sqref="G39:I39">
    <cfRule type="cellIs" dxfId="11" priority="4" operator="lessThan">
      <formula>-1</formula>
    </cfRule>
    <cfRule type="cellIs" dxfId="10" priority="5" operator="greaterThan">
      <formula>1</formula>
    </cfRule>
    <cfRule type="cellIs" dxfId="9" priority="6" operator="between">
      <formula>-1</formula>
      <formula>1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FE95"/>
  <sheetViews>
    <sheetView tabSelected="1" topLeftCell="EJ1" zoomScaleNormal="100" workbookViewId="0">
      <selection activeCell="FA16" sqref="FA16"/>
    </sheetView>
  </sheetViews>
  <sheetFormatPr defaultRowHeight="15" x14ac:dyDescent="0.25"/>
  <cols>
    <col min="1" max="1" width="6.7109375" style="14" hidden="1" customWidth="1"/>
    <col min="2" max="2" width="25.5703125" style="17" hidden="1" customWidth="1"/>
    <col min="3" max="4" width="9.28515625" style="17" hidden="1" customWidth="1"/>
    <col min="5" max="5" width="1.140625" style="16" hidden="1" customWidth="1"/>
    <col min="6" max="6" width="5.42578125" style="14" hidden="1" customWidth="1"/>
    <col min="7" max="7" width="25.28515625" style="17" hidden="1" customWidth="1"/>
    <col min="8" max="9" width="8.5703125" style="17" hidden="1" customWidth="1"/>
    <col min="10" max="10" width="1.140625" style="16" hidden="1" customWidth="1"/>
    <col min="11" max="11" width="5.42578125" style="14" hidden="1" customWidth="1"/>
    <col min="12" max="12" width="25.28515625" style="17" hidden="1" customWidth="1"/>
    <col min="13" max="14" width="9" style="17" hidden="1" customWidth="1"/>
    <col min="15" max="15" width="1.140625" style="16" hidden="1" customWidth="1"/>
    <col min="16" max="16" width="5.42578125" style="14" hidden="1" customWidth="1"/>
    <col min="17" max="17" width="25.28515625" style="17" hidden="1" customWidth="1"/>
    <col min="18" max="19" width="9.28515625" style="17" hidden="1" customWidth="1"/>
    <col min="20" max="20" width="1.140625" style="16" hidden="1" customWidth="1"/>
    <col min="21" max="21" width="5.42578125" style="14" customWidth="1"/>
    <col min="22" max="22" width="25.28515625" style="17" customWidth="1"/>
    <col min="23" max="24" width="8" style="17" customWidth="1"/>
    <col min="25" max="25" width="1.140625" style="16" customWidth="1"/>
    <col min="26" max="26" width="5.42578125" style="14" hidden="1" customWidth="1"/>
    <col min="27" max="27" width="25.28515625" style="17" hidden="1" customWidth="1"/>
    <col min="28" max="29" width="8" style="17" hidden="1" customWidth="1"/>
    <col min="30" max="30" width="1.140625" style="16" hidden="1" customWidth="1"/>
    <col min="31" max="31" width="5.42578125" style="14" hidden="1" customWidth="1"/>
    <col min="32" max="32" width="25.28515625" style="17" hidden="1" customWidth="1"/>
    <col min="33" max="34" width="8" style="17" hidden="1" customWidth="1"/>
    <col min="35" max="35" width="1.140625" style="16" hidden="1" customWidth="1"/>
    <col min="36" max="36" width="26.5703125" style="17" customWidth="1"/>
    <col min="37" max="37" width="12.85546875" style="17" customWidth="1"/>
    <col min="38" max="38" width="1.42578125" style="17" customWidth="1"/>
    <col min="39" max="40" width="9.42578125" style="17" customWidth="1"/>
    <col min="41" max="41" width="10.7109375" style="17" customWidth="1"/>
    <col min="42" max="42" width="1.42578125" style="17" customWidth="1"/>
    <col min="43" max="43" width="8.85546875" style="17" customWidth="1"/>
    <col min="44" max="44" width="7.7109375" style="17" customWidth="1"/>
    <col min="45" max="45" width="11" style="17" customWidth="1"/>
    <col min="46" max="46" width="1.42578125" style="17" customWidth="1"/>
    <col min="47" max="47" width="7.7109375" style="17" customWidth="1"/>
    <col min="48" max="48" width="9" style="17" customWidth="1"/>
    <col min="49" max="49" width="10.140625" style="17" customWidth="1"/>
    <col min="50" max="50" width="1.42578125" style="26" customWidth="1"/>
    <col min="51" max="51" width="8.7109375" style="26" customWidth="1"/>
    <col min="52" max="52" width="9.5703125" style="26" customWidth="1"/>
    <col min="53" max="53" width="10.42578125" style="26" customWidth="1"/>
    <col min="54" max="54" width="1.42578125" style="26" customWidth="1"/>
    <col min="55" max="56" width="8.7109375" style="26" customWidth="1"/>
    <col min="57" max="57" width="10.42578125" style="26" customWidth="1"/>
    <col min="58" max="58" width="1.42578125" style="26" customWidth="1"/>
    <col min="59" max="59" width="8.7109375" style="26" customWidth="1"/>
    <col min="60" max="60" width="10.28515625" style="26" customWidth="1"/>
    <col min="61" max="61" width="10.42578125" style="26" customWidth="1"/>
    <col min="62" max="62" width="1.42578125" style="26" customWidth="1"/>
    <col min="63" max="63" width="8.7109375" style="26" customWidth="1"/>
    <col min="64" max="64" width="9.7109375" style="26" customWidth="1"/>
    <col min="65" max="65" width="10.42578125" style="26" customWidth="1"/>
    <col min="66" max="66" width="1.42578125" style="26" customWidth="1"/>
    <col min="67" max="67" width="8.7109375" style="26" customWidth="1"/>
    <col min="68" max="68" width="7.7109375" style="26" customWidth="1"/>
    <col min="69" max="69" width="10.42578125" style="26" customWidth="1"/>
    <col min="70" max="70" width="1.42578125" style="26" customWidth="1"/>
    <col min="71" max="71" width="8.7109375" style="26" customWidth="1"/>
    <col min="72" max="72" width="7.7109375" style="26" customWidth="1"/>
    <col min="73" max="73" width="10.42578125" style="26" customWidth="1"/>
    <col min="74" max="74" width="1.42578125" style="26" customWidth="1"/>
    <col min="75" max="75" width="29.85546875" style="17" hidden="1" customWidth="1"/>
    <col min="76" max="76" width="9.140625" style="17" hidden="1" customWidth="1"/>
    <col min="77" max="77" width="10" style="17" hidden="1" customWidth="1"/>
    <col min="78" max="78" width="9.140625" style="17" hidden="1" customWidth="1"/>
    <col min="79" max="79" width="23.7109375" style="17" hidden="1" customWidth="1"/>
    <col min="80" max="80" width="9.140625" style="17" hidden="1" customWidth="1"/>
    <col min="81" max="81" width="10.140625" style="17" hidden="1" customWidth="1"/>
    <col min="82" max="82" width="9.140625" style="17" hidden="1" customWidth="1"/>
    <col min="83" max="83" width="13.5703125" style="17" hidden="1" customWidth="1"/>
    <col min="84" max="85" width="9.140625" style="17" hidden="1" customWidth="1"/>
    <col min="86" max="86" width="9.140625" style="16" hidden="1" customWidth="1"/>
    <col min="87" max="87" width="1.28515625" style="16" hidden="1" customWidth="1"/>
    <col min="88" max="89" width="9.140625" style="17" hidden="1" customWidth="1"/>
    <col min="90" max="90" width="9.140625" style="16" hidden="1" customWidth="1"/>
    <col min="91" max="91" width="1.28515625" style="16" hidden="1" customWidth="1"/>
    <col min="92" max="92" width="9.140625" style="17" hidden="1" customWidth="1"/>
    <col min="93" max="93" width="9.140625" style="111" hidden="1" customWidth="1"/>
    <col min="94" max="94" width="9.140625" style="16" hidden="1" customWidth="1"/>
    <col min="95" max="95" width="3.140625" style="16" hidden="1" customWidth="1"/>
    <col min="96" max="98" width="0" style="16" hidden="1" customWidth="1"/>
    <col min="99" max="99" width="3.7109375" style="16" hidden="1" customWidth="1"/>
    <col min="100" max="102" width="0" style="16" hidden="1" customWidth="1"/>
    <col min="103" max="103" width="3" style="16" hidden="1" customWidth="1"/>
    <col min="104" max="106" width="0" style="16" hidden="1" customWidth="1"/>
    <col min="107" max="107" width="2.7109375" style="16" hidden="1" customWidth="1"/>
    <col min="108" max="110" width="0" style="16" hidden="1" customWidth="1"/>
    <col min="111" max="111" width="4.140625" style="16" hidden="1" customWidth="1"/>
    <col min="112" max="112" width="17.42578125" style="17" hidden="1" customWidth="1"/>
    <col min="113" max="117" width="0" style="17" hidden="1" customWidth="1"/>
    <col min="118" max="119" width="0" style="16" hidden="1" customWidth="1"/>
    <col min="120" max="120" width="3.85546875" style="16" hidden="1" customWidth="1"/>
    <col min="121" max="121" width="10.5703125" style="17" hidden="1" customWidth="1"/>
    <col min="122" max="125" width="10" style="17" hidden="1" customWidth="1"/>
    <col min="126" max="126" width="0" style="17" hidden="1" customWidth="1"/>
    <col min="127" max="127" width="9.140625" style="162"/>
    <col min="128" max="128" width="1.140625" style="162" customWidth="1"/>
    <col min="129" max="129" width="11.7109375" style="162" customWidth="1"/>
    <col min="130" max="130" width="1.140625" style="162" customWidth="1"/>
    <col min="131" max="131" width="9.140625" style="162"/>
    <col min="132" max="132" width="12.42578125" style="162" customWidth="1"/>
    <col min="133" max="133" width="1.140625" style="162" customWidth="1"/>
    <col min="134" max="134" width="11.28515625" style="162" customWidth="1"/>
    <col min="135" max="135" width="2.28515625" style="16" customWidth="1"/>
    <col min="136" max="138" width="9.140625" style="16"/>
    <col min="139" max="139" width="2.28515625" style="17" customWidth="1"/>
    <col min="140" max="140" width="27.42578125" style="17" customWidth="1"/>
    <col min="141" max="141" width="10.5703125" style="17" bestFit="1" customWidth="1"/>
    <col min="142" max="142" width="2.7109375" style="17" customWidth="1"/>
    <col min="143" max="143" width="9.140625" style="16"/>
    <col min="144" max="144" width="1.5703125" style="16" customWidth="1"/>
    <col min="145" max="145" width="9.140625" style="16"/>
    <col min="146" max="146" width="1.5703125" style="16" customWidth="1"/>
    <col min="147" max="148" width="9.140625" style="16"/>
    <col min="149" max="149" width="1.5703125" style="16" customWidth="1"/>
    <col min="150" max="150" width="9.140625" style="16"/>
    <col min="151" max="151" width="1.85546875" style="16" customWidth="1"/>
    <col min="152" max="154" width="9.140625" style="16"/>
    <col min="155" max="155" width="1.5703125" customWidth="1"/>
    <col min="159" max="159" width="1.42578125" style="16" customWidth="1"/>
    <col min="160" max="160" width="27.42578125" style="16" customWidth="1"/>
    <col min="161" max="16384" width="9.140625" style="16"/>
  </cols>
  <sheetData>
    <row r="1" spans="1:161" ht="35.65" customHeight="1" thickBot="1" x14ac:dyDescent="0.35">
      <c r="AJ1" s="5" t="s">
        <v>10</v>
      </c>
      <c r="AK1" s="6" t="s">
        <v>11</v>
      </c>
      <c r="AL1" s="238" t="s">
        <v>12</v>
      </c>
      <c r="AM1" s="238"/>
      <c r="AN1" s="6" t="s">
        <v>13</v>
      </c>
      <c r="AO1" s="69" t="s">
        <v>14</v>
      </c>
      <c r="AQ1" s="16"/>
      <c r="AR1" s="16"/>
      <c r="AS1" s="16"/>
      <c r="AU1" s="16"/>
      <c r="AV1" s="16"/>
      <c r="AW1" s="16"/>
      <c r="AY1" s="25"/>
      <c r="AZ1" s="25"/>
      <c r="BA1" s="25"/>
      <c r="BC1" s="25"/>
      <c r="BD1" s="25"/>
      <c r="BE1" s="25"/>
      <c r="BG1" s="25"/>
      <c r="BH1" s="25"/>
      <c r="BI1" s="25"/>
      <c r="BK1" s="25"/>
      <c r="BL1" s="25"/>
      <c r="BM1" s="25"/>
      <c r="BO1" s="25"/>
      <c r="BP1" s="25"/>
      <c r="BQ1" s="25"/>
      <c r="BS1" s="25"/>
      <c r="BT1" s="25"/>
      <c r="BU1" s="25"/>
      <c r="BW1" s="80" t="s">
        <v>19</v>
      </c>
      <c r="BX1" s="80"/>
      <c r="BY1" s="80"/>
      <c r="BZ1" s="80"/>
      <c r="CA1" s="80"/>
      <c r="CB1" s="80"/>
      <c r="CC1" s="80"/>
      <c r="DQ1" s="152" t="s">
        <v>129</v>
      </c>
      <c r="DR1" s="151"/>
      <c r="DS1" s="151"/>
      <c r="DT1" s="151"/>
      <c r="EM1" s="162"/>
      <c r="EN1" s="162"/>
      <c r="EO1" s="162"/>
      <c r="EP1" s="162"/>
      <c r="EQ1" s="162"/>
      <c r="ER1" s="162"/>
      <c r="ES1" s="162"/>
      <c r="ET1" s="162"/>
      <c r="FC1" s="17"/>
      <c r="FD1" s="206" t="s">
        <v>169</v>
      </c>
      <c r="FE1" s="207"/>
    </row>
    <row r="2" spans="1:161" ht="15" customHeight="1" thickBot="1" x14ac:dyDescent="0.3">
      <c r="AJ2" s="5">
        <f>SUM(AK5:AK12)</f>
        <v>229778.56949999998</v>
      </c>
      <c r="AK2" s="6" t="s">
        <v>11</v>
      </c>
      <c r="AL2" s="239">
        <f>-SUM(AK13:AK20)</f>
        <v>78831.968999999997</v>
      </c>
      <c r="AM2" s="239"/>
      <c r="AN2" s="6" t="s">
        <v>13</v>
      </c>
      <c r="AO2" s="69">
        <f>-SUM(AK21:AK37)</f>
        <v>150946.6005</v>
      </c>
      <c r="AQ2" s="16"/>
      <c r="AR2" s="16"/>
      <c r="AS2" s="16"/>
      <c r="AU2" s="16"/>
      <c r="AV2" s="16"/>
      <c r="AW2" s="16"/>
      <c r="AY2" s="25"/>
      <c r="AZ2" s="25"/>
      <c r="BA2" s="25"/>
      <c r="BC2" s="25"/>
      <c r="BD2" s="25"/>
      <c r="BE2" s="25"/>
      <c r="BG2" s="25"/>
      <c r="BH2" s="25"/>
      <c r="BI2" s="25"/>
      <c r="BK2" s="25"/>
      <c r="BL2" s="25"/>
      <c r="BM2" s="25"/>
      <c r="BO2" s="25"/>
      <c r="BP2" s="25"/>
      <c r="BQ2" s="25"/>
      <c r="BS2" s="25"/>
      <c r="BT2" s="25"/>
      <c r="BU2" s="25"/>
      <c r="BW2" s="12" t="s">
        <v>10</v>
      </c>
      <c r="BX2" s="12"/>
      <c r="BY2" s="12"/>
      <c r="BZ2" s="12"/>
      <c r="CA2" s="12" t="s">
        <v>12</v>
      </c>
      <c r="CB2" s="12"/>
      <c r="CC2" s="12"/>
      <c r="CE2" s="100" t="s">
        <v>88</v>
      </c>
      <c r="CF2" s="245" t="s">
        <v>81</v>
      </c>
      <c r="CG2" s="246"/>
      <c r="CH2" s="247"/>
      <c r="CI2" s="81"/>
      <c r="CJ2" s="248" t="s">
        <v>82</v>
      </c>
      <c r="CK2" s="249"/>
      <c r="CL2" s="250"/>
      <c r="CM2" s="81"/>
      <c r="CN2" s="251" t="s">
        <v>83</v>
      </c>
      <c r="CO2" s="252"/>
      <c r="CP2" s="253"/>
      <c r="CR2" s="118" t="s">
        <v>33</v>
      </c>
      <c r="CS2" s="119"/>
      <c r="CT2" s="119"/>
      <c r="CU2" s="120"/>
      <c r="CV2" s="120"/>
      <c r="CW2" s="120"/>
      <c r="CX2" s="121"/>
      <c r="CZ2" s="38" t="s">
        <v>98</v>
      </c>
      <c r="DA2" s="38"/>
      <c r="DB2" s="38"/>
      <c r="DC2" s="38"/>
      <c r="DD2" s="38"/>
      <c r="DE2" s="38"/>
      <c r="DF2" s="39"/>
      <c r="DH2" s="48" t="s">
        <v>108</v>
      </c>
      <c r="DI2" s="49"/>
      <c r="DJ2" s="50" t="s">
        <v>109</v>
      </c>
      <c r="DK2" s="48" t="s">
        <v>110</v>
      </c>
      <c r="DL2" s="49"/>
      <c r="DM2" s="50"/>
      <c r="DQ2" s="138" t="s">
        <v>130</v>
      </c>
      <c r="DR2" s="138"/>
      <c r="DS2" s="138"/>
      <c r="DT2" s="138">
        <v>72000</v>
      </c>
      <c r="DW2" s="163" t="s">
        <v>171</v>
      </c>
      <c r="DX2" s="164"/>
      <c r="DY2" s="164"/>
      <c r="DZ2" s="164"/>
      <c r="EA2" s="164"/>
      <c r="EB2" s="164"/>
      <c r="EC2" s="164"/>
      <c r="ED2" s="165"/>
      <c r="EF2" s="37" t="s">
        <v>39</v>
      </c>
      <c r="EG2" s="37"/>
      <c r="EH2" s="40"/>
      <c r="EJ2" s="206" t="s">
        <v>169</v>
      </c>
      <c r="EK2" s="207"/>
      <c r="EM2" s="163" t="s">
        <v>157</v>
      </c>
      <c r="EN2" s="164"/>
      <c r="EO2" s="164"/>
      <c r="EP2" s="164"/>
      <c r="EQ2" s="164"/>
      <c r="ER2" s="164"/>
      <c r="ES2" s="164"/>
      <c r="ET2" s="165"/>
      <c r="EV2" s="37" t="s">
        <v>181</v>
      </c>
      <c r="EW2" s="37"/>
      <c r="EX2" s="40"/>
      <c r="EZ2" s="37" t="s">
        <v>182</v>
      </c>
      <c r="FA2" s="37"/>
      <c r="FB2" s="40"/>
      <c r="FC2" s="17"/>
      <c r="FD2" s="208" t="s">
        <v>184</v>
      </c>
      <c r="FE2" s="209"/>
    </row>
    <row r="3" spans="1:161" ht="15.75" thickBot="1" x14ac:dyDescent="0.3">
      <c r="A3" s="42" t="s">
        <v>37</v>
      </c>
      <c r="B3" s="43"/>
      <c r="C3" s="43"/>
      <c r="D3" s="43"/>
      <c r="F3" s="42" t="s">
        <v>37</v>
      </c>
      <c r="G3" s="43"/>
      <c r="H3" s="43"/>
      <c r="I3" s="43"/>
      <c r="K3" s="42" t="s">
        <v>37</v>
      </c>
      <c r="L3" s="43"/>
      <c r="M3" s="43"/>
      <c r="N3" s="43"/>
      <c r="P3" s="42" t="s">
        <v>37</v>
      </c>
      <c r="Q3" s="43"/>
      <c r="R3" s="43"/>
      <c r="S3" s="43"/>
      <c r="U3" s="42" t="s">
        <v>37</v>
      </c>
      <c r="V3" s="43"/>
      <c r="W3" s="43"/>
      <c r="X3" s="43"/>
      <c r="Z3" s="42" t="s">
        <v>37</v>
      </c>
      <c r="AA3" s="43"/>
      <c r="AB3" s="43"/>
      <c r="AC3" s="43"/>
      <c r="AE3" s="42" t="s">
        <v>37</v>
      </c>
      <c r="AF3" s="43"/>
      <c r="AG3" s="43"/>
      <c r="AH3" s="43"/>
      <c r="AJ3" s="70"/>
      <c r="AK3" s="240" t="s">
        <v>30</v>
      </c>
      <c r="AL3" s="242">
        <f>AL2+AO2</f>
        <v>229778.56949999998</v>
      </c>
      <c r="AM3" s="243"/>
      <c r="AN3" s="243"/>
      <c r="AO3" s="244"/>
      <c r="AQ3" s="16"/>
      <c r="AR3" s="16"/>
      <c r="AS3" s="16"/>
      <c r="AU3" s="16"/>
      <c r="AV3" s="16"/>
      <c r="AW3" s="16"/>
      <c r="AY3" s="25"/>
      <c r="AZ3" s="25"/>
      <c r="BA3" s="25"/>
      <c r="BC3" s="25"/>
      <c r="BD3" s="25"/>
      <c r="BE3" s="25"/>
      <c r="BG3" s="25"/>
      <c r="BH3" s="25"/>
      <c r="BI3" s="25"/>
      <c r="BK3" s="25"/>
      <c r="BL3" s="25"/>
      <c r="BM3" s="25"/>
      <c r="BO3" s="25"/>
      <c r="BP3" s="25"/>
      <c r="BQ3" s="25"/>
      <c r="BS3" s="25"/>
      <c r="BT3" s="25"/>
      <c r="BU3" s="25"/>
      <c r="BW3" s="12" t="s">
        <v>20</v>
      </c>
      <c r="BX3" s="12"/>
      <c r="BY3" s="12"/>
      <c r="BZ3" s="12"/>
      <c r="CA3" s="12" t="s">
        <v>65</v>
      </c>
      <c r="CB3" s="12"/>
      <c r="CC3" s="12"/>
      <c r="CE3" s="92"/>
      <c r="CF3" s="95"/>
      <c r="CG3" s="95" t="s">
        <v>84</v>
      </c>
      <c r="CH3" s="95" t="s">
        <v>85</v>
      </c>
      <c r="CI3" s="81"/>
      <c r="CJ3" s="95"/>
      <c r="CK3" s="95" t="s">
        <v>84</v>
      </c>
      <c r="CL3" s="95" t="s">
        <v>85</v>
      </c>
      <c r="CM3" s="81"/>
      <c r="CN3" s="95"/>
      <c r="CO3" s="112" t="s">
        <v>84</v>
      </c>
      <c r="CP3" s="95" t="s">
        <v>85</v>
      </c>
      <c r="CR3" s="37" t="s">
        <v>95</v>
      </c>
      <c r="CS3" s="120"/>
      <c r="CT3" s="121"/>
      <c r="CU3" s="27"/>
      <c r="CV3" s="37" t="s">
        <v>96</v>
      </c>
      <c r="CW3" s="120"/>
      <c r="CX3" s="121"/>
      <c r="CZ3" s="17" t="s">
        <v>99</v>
      </c>
      <c r="DA3" s="17"/>
      <c r="DB3" s="17"/>
      <c r="DD3" s="17"/>
      <c r="DE3" s="17">
        <f>+DB11+DB17+DF8+DF17+DB23</f>
        <v>-1200</v>
      </c>
      <c r="DF3" s="17"/>
      <c r="DI3" s="135" t="s">
        <v>121</v>
      </c>
      <c r="DJ3" s="136"/>
      <c r="DK3" s="135"/>
      <c r="DL3" s="136"/>
      <c r="DM3" s="135"/>
      <c r="DN3" s="135" t="s">
        <v>122</v>
      </c>
      <c r="DO3" s="136"/>
      <c r="DQ3" s="138" t="s">
        <v>139</v>
      </c>
      <c r="DR3" s="138"/>
      <c r="DS3" s="138"/>
      <c r="DT3" s="138">
        <v>60</v>
      </c>
      <c r="DW3" s="166"/>
      <c r="DX3" s="167"/>
      <c r="DY3" s="167"/>
      <c r="DZ3" s="167"/>
      <c r="EA3" s="167"/>
      <c r="EB3" s="167"/>
      <c r="EC3" s="167"/>
      <c r="ED3" s="168"/>
      <c r="EF3" s="18" t="s">
        <v>6</v>
      </c>
      <c r="EG3" s="18" t="s">
        <v>7</v>
      </c>
      <c r="EH3" s="18" t="s">
        <v>4</v>
      </c>
      <c r="EJ3" s="208" t="s">
        <v>178</v>
      </c>
      <c r="EK3" s="209"/>
      <c r="EM3" s="166"/>
      <c r="EN3" s="167"/>
      <c r="EO3" s="167"/>
      <c r="EP3" s="167"/>
      <c r="EQ3" s="167"/>
      <c r="ER3" s="167"/>
      <c r="ES3" s="167"/>
      <c r="ET3" s="168"/>
      <c r="EV3" s="18" t="s">
        <v>6</v>
      </c>
      <c r="EW3" s="18" t="s">
        <v>7</v>
      </c>
      <c r="EX3" s="18" t="s">
        <v>4</v>
      </c>
      <c r="EZ3" s="18" t="s">
        <v>6</v>
      </c>
      <c r="FA3" s="18" t="s">
        <v>7</v>
      </c>
      <c r="FB3" s="18" t="s">
        <v>4</v>
      </c>
      <c r="FC3" s="17"/>
      <c r="FD3" s="210" t="s">
        <v>168</v>
      </c>
      <c r="FE3" s="210"/>
    </row>
    <row r="4" spans="1:161" ht="21.75" thickBot="1" x14ac:dyDescent="0.4">
      <c r="A4" s="44" t="s">
        <v>27</v>
      </c>
      <c r="B4" s="44" t="s">
        <v>5</v>
      </c>
      <c r="C4" s="44" t="s">
        <v>6</v>
      </c>
      <c r="D4" s="44" t="s">
        <v>17</v>
      </c>
      <c r="F4" s="44" t="s">
        <v>27</v>
      </c>
      <c r="G4" s="44" t="s">
        <v>5</v>
      </c>
      <c r="H4" s="44" t="s">
        <v>6</v>
      </c>
      <c r="I4" s="44" t="s">
        <v>17</v>
      </c>
      <c r="K4" s="44" t="s">
        <v>27</v>
      </c>
      <c r="L4" s="44" t="s">
        <v>5</v>
      </c>
      <c r="M4" s="44" t="s">
        <v>6</v>
      </c>
      <c r="N4" s="44" t="s">
        <v>17</v>
      </c>
      <c r="P4" s="44" t="s">
        <v>27</v>
      </c>
      <c r="Q4" s="44" t="s">
        <v>5</v>
      </c>
      <c r="R4" s="44" t="s">
        <v>6</v>
      </c>
      <c r="S4" s="44" t="s">
        <v>17</v>
      </c>
      <c r="U4" s="44" t="s">
        <v>27</v>
      </c>
      <c r="V4" s="44" t="s">
        <v>5</v>
      </c>
      <c r="W4" s="44" t="s">
        <v>6</v>
      </c>
      <c r="X4" s="44" t="s">
        <v>17</v>
      </c>
      <c r="Z4" s="44" t="s">
        <v>27</v>
      </c>
      <c r="AA4" s="44" t="s">
        <v>5</v>
      </c>
      <c r="AB4" s="44" t="s">
        <v>6</v>
      </c>
      <c r="AC4" s="44" t="s">
        <v>17</v>
      </c>
      <c r="AE4" s="44" t="s">
        <v>27</v>
      </c>
      <c r="AF4" s="44" t="s">
        <v>5</v>
      </c>
      <c r="AG4" s="44" t="s">
        <v>6</v>
      </c>
      <c r="AH4" s="44" t="s">
        <v>17</v>
      </c>
      <c r="AI4" s="19"/>
      <c r="AJ4" s="141" t="s">
        <v>5</v>
      </c>
      <c r="AK4" s="241"/>
      <c r="AM4" s="45" t="s">
        <v>60</v>
      </c>
      <c r="AN4" s="45"/>
      <c r="AO4" s="45"/>
      <c r="AP4" s="45"/>
      <c r="AQ4" s="45"/>
      <c r="AR4" s="45"/>
      <c r="AS4" s="45"/>
      <c r="AT4" s="45"/>
      <c r="AU4" s="45"/>
      <c r="AV4" s="45"/>
      <c r="AW4" s="45"/>
      <c r="AX4" s="45"/>
      <c r="AY4" s="45"/>
      <c r="AZ4" s="45"/>
      <c r="BA4" s="63"/>
      <c r="BB4" s="45"/>
      <c r="BC4" s="45"/>
      <c r="BD4" s="45"/>
      <c r="BE4" s="45"/>
      <c r="BF4" s="45"/>
      <c r="BG4" s="45"/>
      <c r="BH4" s="45"/>
      <c r="BI4" s="45"/>
      <c r="BJ4" s="45"/>
      <c r="BK4" s="45"/>
      <c r="BL4" s="45"/>
      <c r="BM4" s="45"/>
      <c r="BN4" s="45"/>
      <c r="BO4" s="45"/>
      <c r="BP4" s="63"/>
      <c r="BQ4" s="45"/>
      <c r="BR4" s="45"/>
      <c r="BS4" s="45"/>
      <c r="BT4" s="45"/>
      <c r="BU4" s="45"/>
      <c r="BW4" s="29" t="s">
        <v>0</v>
      </c>
      <c r="BX4" s="12">
        <f t="shared" ref="BX4:BX9" si="0">+AK5</f>
        <v>99116.799499999994</v>
      </c>
      <c r="BY4" s="12"/>
      <c r="BZ4" s="12"/>
      <c r="CA4" s="29" t="s">
        <v>2</v>
      </c>
      <c r="CB4" s="12">
        <f t="shared" ref="CB4:CB10" si="1">-AK13</f>
        <v>1200</v>
      </c>
      <c r="CC4" s="12"/>
      <c r="CE4" s="93" t="s">
        <v>27</v>
      </c>
      <c r="CF4" s="96" t="s">
        <v>86</v>
      </c>
      <c r="CG4" s="96" t="s">
        <v>87</v>
      </c>
      <c r="CH4" s="96" t="s">
        <v>87</v>
      </c>
      <c r="CI4" s="81"/>
      <c r="CJ4" s="96" t="s">
        <v>86</v>
      </c>
      <c r="CK4" s="96" t="s">
        <v>87</v>
      </c>
      <c r="CL4" s="96" t="s">
        <v>87</v>
      </c>
      <c r="CM4" s="81"/>
      <c r="CN4" s="96" t="s">
        <v>86</v>
      </c>
      <c r="CO4" s="113" t="s">
        <v>87</v>
      </c>
      <c r="CP4" s="96" t="s">
        <v>87</v>
      </c>
      <c r="CR4" s="122" t="s">
        <v>6</v>
      </c>
      <c r="CS4" s="123" t="s">
        <v>7</v>
      </c>
      <c r="CT4" s="124" t="s">
        <v>4</v>
      </c>
      <c r="CU4" s="27"/>
      <c r="CV4" s="122" t="s">
        <v>6</v>
      </c>
      <c r="CW4" s="123" t="s">
        <v>7</v>
      </c>
      <c r="CX4" s="124" t="s">
        <v>4</v>
      </c>
      <c r="CZ4" s="38" t="s">
        <v>100</v>
      </c>
      <c r="DA4" s="126"/>
      <c r="DB4" s="127"/>
      <c r="DD4" s="38" t="s">
        <v>140</v>
      </c>
      <c r="DE4" s="126"/>
      <c r="DF4" s="127"/>
      <c r="DH4" s="137" t="s">
        <v>111</v>
      </c>
      <c r="DI4" s="137" t="s">
        <v>85</v>
      </c>
      <c r="DJ4" s="137" t="s">
        <v>114</v>
      </c>
      <c r="DK4" s="137"/>
      <c r="DL4" s="137" t="s">
        <v>117</v>
      </c>
      <c r="DM4" s="137" t="s">
        <v>119</v>
      </c>
      <c r="DN4" s="137" t="s">
        <v>114</v>
      </c>
      <c r="DO4" s="137"/>
      <c r="DQ4" s="138" t="s">
        <v>131</v>
      </c>
      <c r="DR4" s="138"/>
      <c r="DS4" s="138"/>
      <c r="DT4" s="150">
        <v>0.05</v>
      </c>
      <c r="DW4" s="166" t="s">
        <v>172</v>
      </c>
      <c r="DX4" s="167"/>
      <c r="DY4" s="167"/>
      <c r="DZ4" s="167"/>
      <c r="EA4" s="167"/>
      <c r="EB4" s="223">
        <v>25000</v>
      </c>
      <c r="EC4" s="167"/>
      <c r="ED4" s="168"/>
      <c r="EF4" s="9" t="s">
        <v>15</v>
      </c>
      <c r="EG4" s="9"/>
      <c r="EH4" s="9">
        <f>+'Trial Balance'!AO7</f>
        <v>0</v>
      </c>
      <c r="EJ4" s="210" t="s">
        <v>168</v>
      </c>
      <c r="EK4" s="210"/>
      <c r="EM4" s="166" t="s">
        <v>158</v>
      </c>
      <c r="EN4" s="167"/>
      <c r="EO4" s="167"/>
      <c r="EP4" s="167"/>
      <c r="EQ4" s="167"/>
      <c r="ER4" s="200">
        <v>109415</v>
      </c>
      <c r="ES4" s="167"/>
      <c r="ET4" s="168"/>
      <c r="EV4" s="9" t="s">
        <v>15</v>
      </c>
      <c r="EW4" s="9"/>
      <c r="EX4" s="9">
        <v>0</v>
      </c>
      <c r="EZ4" s="9" t="s">
        <v>15</v>
      </c>
      <c r="FA4" s="9"/>
      <c r="FB4" s="9">
        <f>AO7</f>
        <v>94342</v>
      </c>
      <c r="FC4" s="17"/>
      <c r="FD4" s="231" t="s">
        <v>15</v>
      </c>
      <c r="FE4" s="232">
        <v>99296</v>
      </c>
    </row>
    <row r="5" spans="1:161" ht="16.5" thickBot="1" x14ac:dyDescent="0.3">
      <c r="A5" s="64">
        <v>42767</v>
      </c>
      <c r="B5" s="4" t="s">
        <v>56</v>
      </c>
      <c r="C5" s="4">
        <v>1059</v>
      </c>
      <c r="D5" s="4"/>
      <c r="F5" s="46">
        <v>42784</v>
      </c>
      <c r="G5" s="4" t="s">
        <v>1</v>
      </c>
      <c r="H5" s="4">
        <f>500*1.05</f>
        <v>525</v>
      </c>
      <c r="I5" s="4"/>
      <c r="K5" s="46">
        <v>42792</v>
      </c>
      <c r="L5" s="4" t="s">
        <v>101</v>
      </c>
      <c r="M5" s="4">
        <v>816</v>
      </c>
      <c r="N5" s="4"/>
      <c r="P5" s="46">
        <v>42794</v>
      </c>
      <c r="Q5" s="4" t="s">
        <v>1</v>
      </c>
      <c r="R5" s="4">
        <f>190*5</f>
        <v>950</v>
      </c>
      <c r="S5" s="4"/>
      <c r="U5" s="46">
        <v>42794</v>
      </c>
      <c r="V5" s="4" t="s">
        <v>52</v>
      </c>
      <c r="W5" s="4">
        <f>DI16</f>
        <v>5383</v>
      </c>
      <c r="X5" s="4"/>
      <c r="Z5" s="46"/>
      <c r="AA5" s="4"/>
      <c r="AB5" s="4"/>
      <c r="AC5" s="4"/>
      <c r="AE5" s="46"/>
      <c r="AF5" s="4"/>
      <c r="AG5" s="4"/>
      <c r="AH5" s="4"/>
      <c r="AI5" s="19"/>
      <c r="AJ5" s="33" t="s">
        <v>39</v>
      </c>
      <c r="AK5" s="47">
        <f>+AO37</f>
        <v>99116.799499999994</v>
      </c>
      <c r="AM5" s="37" t="str">
        <f>+AJ5</f>
        <v>Checking</v>
      </c>
      <c r="AN5" s="37"/>
      <c r="AO5" s="40"/>
      <c r="AQ5" s="37" t="str">
        <f>+AJ6</f>
        <v>Accounts Receivable</v>
      </c>
      <c r="AR5" s="37"/>
      <c r="AS5" s="40"/>
      <c r="AU5" s="37" t="str">
        <f>+AJ8</f>
        <v>Prepaid Insurance</v>
      </c>
      <c r="AV5" s="37"/>
      <c r="AW5" s="40"/>
      <c r="AY5" s="37" t="str">
        <f>+AJ12</f>
        <v>Furniture &amp; Equipment</v>
      </c>
      <c r="AZ5" s="37"/>
      <c r="BA5" s="40"/>
      <c r="BC5" s="38" t="str">
        <f>+AJ16</f>
        <v>Loan Payable - Current</v>
      </c>
      <c r="BD5" s="38"/>
      <c r="BE5" s="39"/>
      <c r="BG5" s="38" t="str">
        <f>+AJ20</f>
        <v>Loan Payable -  Long Term</v>
      </c>
      <c r="BH5" s="38"/>
      <c r="BI5" s="39"/>
      <c r="BK5" s="48" t="str">
        <f>+AJ25</f>
        <v>Service</v>
      </c>
      <c r="BL5" s="49"/>
      <c r="BM5" s="50"/>
      <c r="BO5" s="48" t="str">
        <f>+AJ28</f>
        <v>Depreciation Expense</v>
      </c>
      <c r="BP5" s="49"/>
      <c r="BQ5" s="50"/>
      <c r="BS5" s="48" t="str">
        <f>+AJ33</f>
        <v>Office Supplies</v>
      </c>
      <c r="BT5" s="49"/>
      <c r="BU5" s="50"/>
      <c r="BW5" s="29" t="str">
        <f>+AJ6</f>
        <v>Accounts Receivable</v>
      </c>
      <c r="BX5" s="12">
        <f t="shared" si="0"/>
        <v>10449.27</v>
      </c>
      <c r="BY5" s="12"/>
      <c r="BZ5" s="12"/>
      <c r="CA5" s="29" t="s">
        <v>66</v>
      </c>
      <c r="CB5" s="12">
        <f t="shared" si="1"/>
        <v>1000</v>
      </c>
      <c r="CC5" s="12"/>
      <c r="CE5" s="91">
        <v>44197</v>
      </c>
      <c r="CF5" s="94"/>
      <c r="CG5" s="97"/>
      <c r="CH5" s="102"/>
      <c r="CI5" s="103"/>
      <c r="CJ5" s="98"/>
      <c r="CK5" s="97"/>
      <c r="CL5" s="104"/>
      <c r="CM5" s="103"/>
      <c r="CN5" s="99">
        <v>1</v>
      </c>
      <c r="CO5" s="101">
        <v>400</v>
      </c>
      <c r="CP5" s="101">
        <f>CN5*CO5</f>
        <v>400</v>
      </c>
      <c r="CR5" s="125" t="s">
        <v>15</v>
      </c>
      <c r="CS5" s="125"/>
      <c r="CT5" s="125">
        <v>0</v>
      </c>
      <c r="CU5" s="27"/>
      <c r="CV5" s="28" t="s">
        <v>15</v>
      </c>
      <c r="CW5" s="28"/>
      <c r="CX5" s="28">
        <v>0</v>
      </c>
      <c r="CZ5" s="54" t="s">
        <v>6</v>
      </c>
      <c r="DA5" s="54" t="s">
        <v>7</v>
      </c>
      <c r="DB5" s="54" t="s">
        <v>4</v>
      </c>
      <c r="DD5" s="18" t="s">
        <v>6</v>
      </c>
      <c r="DE5" s="18" t="s">
        <v>7</v>
      </c>
      <c r="DF5" s="18" t="s">
        <v>4</v>
      </c>
      <c r="DH5" s="137"/>
      <c r="DI5" s="137" t="s">
        <v>113</v>
      </c>
      <c r="DJ5" s="137" t="s">
        <v>115</v>
      </c>
      <c r="DK5" s="137" t="s">
        <v>116</v>
      </c>
      <c r="DL5" s="137" t="s">
        <v>118</v>
      </c>
      <c r="DM5" s="137" t="s">
        <v>112</v>
      </c>
      <c r="DN5" s="137" t="s">
        <v>115</v>
      </c>
      <c r="DO5" s="137" t="s">
        <v>116</v>
      </c>
      <c r="DQ5" s="138" t="s">
        <v>132</v>
      </c>
      <c r="DR5" s="138"/>
      <c r="DS5" s="138"/>
      <c r="DT5" s="138">
        <f>-PMT(DT4/12,DT3,DT2)</f>
        <v>1358.7288223687872</v>
      </c>
      <c r="DW5" s="166" t="s">
        <v>159</v>
      </c>
      <c r="DX5" s="167"/>
      <c r="DY5" s="167"/>
      <c r="DZ5" s="167"/>
      <c r="EA5" s="167"/>
      <c r="EB5" s="167">
        <f>+DY22</f>
        <v>136128</v>
      </c>
      <c r="EC5" s="167"/>
      <c r="ED5" s="168"/>
      <c r="EF5" s="213">
        <f>+'Trial Balance'!AM8</f>
        <v>25000</v>
      </c>
      <c r="EG5" s="15"/>
      <c r="EH5" s="9">
        <f>+EH4+SUM(EF5:EG5)</f>
        <v>25000</v>
      </c>
      <c r="EJ5" s="211" t="s">
        <v>15</v>
      </c>
      <c r="EK5" s="205">
        <v>109415</v>
      </c>
      <c r="EM5" s="166" t="s">
        <v>159</v>
      </c>
      <c r="EN5" s="167"/>
      <c r="EO5" s="167"/>
      <c r="EP5" s="167"/>
      <c r="EQ5" s="167"/>
      <c r="ER5" s="200">
        <f>+EO27</f>
        <v>14030.5</v>
      </c>
      <c r="ES5" s="167"/>
      <c r="ET5" s="168"/>
      <c r="EV5" s="224">
        <v>25000</v>
      </c>
      <c r="EW5" s="15"/>
      <c r="EX5" s="9">
        <v>25000</v>
      </c>
      <c r="EZ5" s="15"/>
      <c r="FA5" s="213">
        <f>+AN8</f>
        <v>-1359</v>
      </c>
      <c r="FB5" s="9">
        <f>+FB4+SUM(EZ5:FA5)</f>
        <v>92983</v>
      </c>
      <c r="FC5" s="17"/>
      <c r="FD5" s="233" t="s">
        <v>174</v>
      </c>
      <c r="FE5" s="15">
        <f>FA13+FA14+FA16+FA17+FA19</f>
        <v>-1942</v>
      </c>
    </row>
    <row r="6" spans="1:161" ht="16.5" thickBot="1" x14ac:dyDescent="0.3">
      <c r="A6" s="64"/>
      <c r="B6" s="117" t="s">
        <v>50</v>
      </c>
      <c r="C6" s="4">
        <v>300</v>
      </c>
      <c r="D6" s="4"/>
      <c r="F6" s="46"/>
      <c r="G6" s="116" t="s">
        <v>45</v>
      </c>
      <c r="H6" s="4"/>
      <c r="I6" s="4">
        <v>-500</v>
      </c>
      <c r="K6" s="46"/>
      <c r="L6" s="116" t="s">
        <v>1</v>
      </c>
      <c r="M6" s="4"/>
      <c r="N6" s="4">
        <f>-M5</f>
        <v>-816</v>
      </c>
      <c r="P6" s="46"/>
      <c r="Q6" s="116" t="s">
        <v>46</v>
      </c>
      <c r="R6" s="4"/>
      <c r="S6" s="4">
        <f>-R5</f>
        <v>-950</v>
      </c>
      <c r="U6" s="46"/>
      <c r="V6" s="4" t="s">
        <v>59</v>
      </c>
      <c r="W6" s="4"/>
      <c r="X6" s="4">
        <f>-SUM(DJ16:DL16)</f>
        <v>-1241.7995000000001</v>
      </c>
      <c r="Z6" s="46"/>
      <c r="AA6" s="4"/>
      <c r="AB6" s="4"/>
      <c r="AC6" s="4"/>
      <c r="AE6" s="46"/>
      <c r="AF6" s="4"/>
      <c r="AG6" s="4"/>
      <c r="AH6" s="4"/>
      <c r="AI6" s="19"/>
      <c r="AJ6" s="33" t="s">
        <v>1</v>
      </c>
      <c r="AK6" s="47">
        <f>+AS27</f>
        <v>10449.27</v>
      </c>
      <c r="AM6" s="18" t="s">
        <v>6</v>
      </c>
      <c r="AN6" s="18" t="s">
        <v>7</v>
      </c>
      <c r="AO6" s="18" t="s">
        <v>4</v>
      </c>
      <c r="AQ6" s="18" t="s">
        <v>6</v>
      </c>
      <c r="AR6" s="18" t="s">
        <v>7</v>
      </c>
      <c r="AS6" s="18" t="s">
        <v>4</v>
      </c>
      <c r="AU6" s="18" t="s">
        <v>6</v>
      </c>
      <c r="AV6" s="18" t="s">
        <v>7</v>
      </c>
      <c r="AW6" s="53" t="s">
        <v>4</v>
      </c>
      <c r="AY6" s="18" t="s">
        <v>6</v>
      </c>
      <c r="AZ6" s="18" t="s">
        <v>7</v>
      </c>
      <c r="BA6" s="53" t="s">
        <v>4</v>
      </c>
      <c r="BC6" s="18" t="s">
        <v>6</v>
      </c>
      <c r="BD6" s="18" t="s">
        <v>7</v>
      </c>
      <c r="BE6" s="53" t="s">
        <v>4</v>
      </c>
      <c r="BG6" s="18" t="s">
        <v>6</v>
      </c>
      <c r="BH6" s="18" t="s">
        <v>7</v>
      </c>
      <c r="BI6" s="53" t="s">
        <v>4</v>
      </c>
      <c r="BK6" s="18" t="s">
        <v>6</v>
      </c>
      <c r="BL6" s="18" t="s">
        <v>7</v>
      </c>
      <c r="BM6" s="53" t="s">
        <v>4</v>
      </c>
      <c r="BO6" s="54" t="s">
        <v>6</v>
      </c>
      <c r="BP6" s="54" t="s">
        <v>7</v>
      </c>
      <c r="BQ6" s="55" t="s">
        <v>4</v>
      </c>
      <c r="BS6" s="54" t="s">
        <v>6</v>
      </c>
      <c r="BT6" s="54" t="s">
        <v>7</v>
      </c>
      <c r="BU6" s="55" t="s">
        <v>4</v>
      </c>
      <c r="BW6" s="29" t="str">
        <f>+AJ7</f>
        <v>Inventory Asset</v>
      </c>
      <c r="BX6" s="12">
        <f t="shared" si="0"/>
        <v>1713</v>
      </c>
      <c r="BY6" s="12"/>
      <c r="BZ6" s="12"/>
      <c r="CA6" s="29" t="str">
        <f>+AJ15</f>
        <v>Interest Payable</v>
      </c>
      <c r="CB6" s="12">
        <f t="shared" si="1"/>
        <v>0</v>
      </c>
      <c r="CC6" s="12"/>
      <c r="CE6" s="82">
        <v>42760</v>
      </c>
      <c r="CF6" s="83">
        <v>1</v>
      </c>
      <c r="CG6" s="84">
        <v>400</v>
      </c>
      <c r="CH6" s="106">
        <f>CF6*CG6</f>
        <v>400</v>
      </c>
      <c r="CI6" s="103"/>
      <c r="CJ6" s="85"/>
      <c r="CK6" s="84"/>
      <c r="CL6" s="107"/>
      <c r="CM6" s="103"/>
      <c r="CN6" s="128">
        <v>1</v>
      </c>
      <c r="CO6" s="105">
        <v>400</v>
      </c>
      <c r="CP6" s="129">
        <f>CN6*CO6</f>
        <v>400</v>
      </c>
      <c r="CR6" s="65">
        <v>5000</v>
      </c>
      <c r="CS6" s="65"/>
      <c r="CT6" s="28">
        <f>+CT5+SUM(CR6:CS6)</f>
        <v>5000</v>
      </c>
      <c r="CU6" s="27"/>
      <c r="CV6" s="65">
        <v>7500</v>
      </c>
      <c r="CW6" s="65"/>
      <c r="CX6" s="28">
        <f>+CX5+SUM(CV6:CW6)</f>
        <v>7500</v>
      </c>
      <c r="CZ6" s="41" t="s">
        <v>15</v>
      </c>
      <c r="DA6" s="41"/>
      <c r="DB6" s="41">
        <v>0</v>
      </c>
      <c r="DD6" s="41" t="s">
        <v>15</v>
      </c>
      <c r="DE6" s="41"/>
      <c r="DF6" s="41">
        <v>0</v>
      </c>
      <c r="DH6" s="138" t="s">
        <v>120</v>
      </c>
      <c r="DI6" s="138">
        <v>4583.33</v>
      </c>
      <c r="DJ6" s="138">
        <v>258</v>
      </c>
      <c r="DK6" s="138">
        <v>66</v>
      </c>
      <c r="DL6" s="138">
        <v>720</v>
      </c>
      <c r="DM6" s="138">
        <f>DI6-DJ6-DK6-DL6</f>
        <v>3539.33</v>
      </c>
      <c r="DN6" s="138">
        <f>DJ6</f>
        <v>258</v>
      </c>
      <c r="DO6" s="138">
        <f>DK6</f>
        <v>66</v>
      </c>
      <c r="DW6" s="166" t="s">
        <v>160</v>
      </c>
      <c r="DX6" s="167"/>
      <c r="DY6" s="167"/>
      <c r="DZ6" s="167"/>
      <c r="EA6" s="167"/>
      <c r="EB6" s="167">
        <f>+ED22</f>
        <v>51713</v>
      </c>
      <c r="EC6" s="167"/>
      <c r="ED6" s="168"/>
      <c r="EF6" s="213">
        <f>+'Trial Balance'!AM9</f>
        <v>65000</v>
      </c>
      <c r="EG6" s="15"/>
      <c r="EH6" s="9">
        <f>+EH5+SUM(EF6:EG6)</f>
        <v>90000</v>
      </c>
      <c r="EJ6" s="29" t="s">
        <v>174</v>
      </c>
      <c r="EK6" s="12">
        <f>EG16+EG17+EG19+EG21+EG22</f>
        <v>-16029</v>
      </c>
      <c r="EM6" s="166" t="s">
        <v>160</v>
      </c>
      <c r="EN6" s="167"/>
      <c r="EO6" s="167"/>
      <c r="EP6" s="167"/>
      <c r="EQ6" s="167"/>
      <c r="ER6" s="200">
        <f>+ET27</f>
        <v>24149.41</v>
      </c>
      <c r="ES6" s="167"/>
      <c r="ET6" s="168"/>
      <c r="EV6" s="224">
        <v>65000</v>
      </c>
      <c r="EW6" s="15"/>
      <c r="EX6" s="9">
        <v>90000</v>
      </c>
      <c r="EZ6" s="15"/>
      <c r="FA6" s="213">
        <f>+AN9</f>
        <v>-1359</v>
      </c>
      <c r="FB6" s="9">
        <f t="shared" ref="FB6:FB10" si="2">+FB5+SUM(EZ6:FA6)</f>
        <v>91624</v>
      </c>
      <c r="FC6" s="17"/>
      <c r="FD6" s="233" t="s">
        <v>175</v>
      </c>
      <c r="FE6" s="234">
        <v>1641</v>
      </c>
    </row>
    <row r="7" spans="1:161" ht="16.5" thickBot="1" x14ac:dyDescent="0.3">
      <c r="A7" s="64"/>
      <c r="B7" s="116" t="s">
        <v>39</v>
      </c>
      <c r="C7" s="4"/>
      <c r="D7" s="4">
        <v>-1359</v>
      </c>
      <c r="F7" s="46"/>
      <c r="G7" s="116" t="s">
        <v>61</v>
      </c>
      <c r="H7" s="4"/>
      <c r="I7" s="4">
        <f>-SUM(H5:I6)</f>
        <v>-25</v>
      </c>
      <c r="K7" s="46"/>
      <c r="L7" s="4"/>
      <c r="M7" s="4"/>
      <c r="N7" s="4"/>
      <c r="P7" s="46"/>
      <c r="Q7" s="4"/>
      <c r="R7" s="4"/>
      <c r="S7" s="4"/>
      <c r="U7" s="46"/>
      <c r="V7" s="4" t="s">
        <v>39</v>
      </c>
      <c r="W7" s="4"/>
      <c r="X7" s="4">
        <f>-DM16</f>
        <v>-4141.2005000000008</v>
      </c>
      <c r="Z7" s="46"/>
      <c r="AA7" s="4"/>
      <c r="AB7" s="4"/>
      <c r="AC7" s="4"/>
      <c r="AE7" s="46"/>
      <c r="AF7" s="4"/>
      <c r="AG7" s="4"/>
      <c r="AH7" s="4"/>
      <c r="AI7" s="19"/>
      <c r="AJ7" s="33" t="s">
        <v>40</v>
      </c>
      <c r="AK7" s="47">
        <f>+AS41</f>
        <v>1713</v>
      </c>
      <c r="AM7" s="9" t="s">
        <v>15</v>
      </c>
      <c r="AN7" s="9"/>
      <c r="AO7" s="9">
        <f>'Jan Close'!I5</f>
        <v>94342</v>
      </c>
      <c r="AQ7" s="9" t="s">
        <v>15</v>
      </c>
      <c r="AR7" s="9"/>
      <c r="AS7" s="9">
        <f>'Jan Close'!I6</f>
        <v>1215.27</v>
      </c>
      <c r="AU7" s="9" t="s">
        <v>15</v>
      </c>
      <c r="AV7" s="9"/>
      <c r="AW7" s="56">
        <f>'Jan Close'!I8</f>
        <v>11000</v>
      </c>
      <c r="AY7" s="9" t="s">
        <v>15</v>
      </c>
      <c r="AZ7" s="9"/>
      <c r="BA7" s="56">
        <f>'Jan Close'!I12</f>
        <v>98000</v>
      </c>
      <c r="BC7" s="41" t="s">
        <v>15</v>
      </c>
      <c r="BD7" s="9"/>
      <c r="BE7" s="57">
        <f>'Jan Close'!I16</f>
        <v>0</v>
      </c>
      <c r="BG7" s="41" t="s">
        <v>15</v>
      </c>
      <c r="BH7" s="9"/>
      <c r="BI7" s="57">
        <f>'Jan Close'!I20</f>
        <v>-72000</v>
      </c>
      <c r="BK7" s="58" t="s">
        <v>15</v>
      </c>
      <c r="BL7" s="9"/>
      <c r="BM7" s="3">
        <f>'Jan Close'!I26</f>
        <v>0</v>
      </c>
      <c r="BO7" s="1" t="s">
        <v>15</v>
      </c>
      <c r="BP7" s="2"/>
      <c r="BQ7" s="2">
        <f>+'Jan Close'!I29</f>
        <v>0</v>
      </c>
      <c r="BS7" s="1" t="s">
        <v>15</v>
      </c>
      <c r="BT7" s="2"/>
      <c r="BU7" s="2">
        <f>+'Jan Close'!I34</f>
        <v>0</v>
      </c>
      <c r="BW7" s="29" t="str">
        <f>+AJ8</f>
        <v>Prepaid Insurance</v>
      </c>
      <c r="BX7" s="12">
        <f t="shared" si="0"/>
        <v>11000</v>
      </c>
      <c r="BY7" s="12"/>
      <c r="BZ7" s="12"/>
      <c r="CA7" s="29" t="str">
        <f>+AJ16</f>
        <v>Loan Payable - Current</v>
      </c>
      <c r="CB7" s="12">
        <f t="shared" si="1"/>
        <v>0</v>
      </c>
      <c r="CC7" s="12"/>
      <c r="CE7" s="82"/>
      <c r="CF7" s="83"/>
      <c r="CG7" s="84"/>
      <c r="CH7" s="106"/>
      <c r="CI7" s="103"/>
      <c r="CJ7" s="85"/>
      <c r="CK7" s="84"/>
      <c r="CL7" s="107"/>
      <c r="CM7" s="103"/>
      <c r="CN7" s="86">
        <f>SUM(CN5:CN6)</f>
        <v>2</v>
      </c>
      <c r="CO7" s="105">
        <f>CP7/CN7</f>
        <v>400</v>
      </c>
      <c r="CP7" s="105">
        <f>SUM(CP5:CP6)</f>
        <v>800</v>
      </c>
      <c r="CR7" s="65">
        <v>430.5</v>
      </c>
      <c r="CS7" s="65"/>
      <c r="CT7" s="28">
        <f>+CT6+SUM(CR7:CS7)</f>
        <v>5430.5</v>
      </c>
      <c r="CU7" s="27"/>
      <c r="CV7" s="65">
        <v>399</v>
      </c>
      <c r="CW7" s="65"/>
      <c r="CX7" s="28">
        <f>+CX6+SUM(CV7:CW7)</f>
        <v>7899</v>
      </c>
      <c r="CZ7" s="12"/>
      <c r="DA7" s="12">
        <v>-15000</v>
      </c>
      <c r="DB7" s="41">
        <f>+DB6+SUM(CZ7:DA7)</f>
        <v>-15000</v>
      </c>
      <c r="DD7" s="12"/>
      <c r="DE7" s="12">
        <f>D18</f>
        <v>-168</v>
      </c>
      <c r="DF7" s="41">
        <f>+DF6+SUM(DD7:DE7)</f>
        <v>-168</v>
      </c>
      <c r="DH7" s="138" t="s">
        <v>123</v>
      </c>
      <c r="DI7" s="139">
        <v>800</v>
      </c>
      <c r="DJ7" s="139">
        <v>49</v>
      </c>
      <c r="DK7" s="139">
        <v>11</v>
      </c>
      <c r="DL7" s="139">
        <v>110</v>
      </c>
      <c r="DM7" s="139">
        <f>DI7-SUM(DJ7:DL7)</f>
        <v>630</v>
      </c>
      <c r="DN7" s="139">
        <f>DJ7</f>
        <v>49</v>
      </c>
      <c r="DO7" s="139">
        <f>DK7</f>
        <v>11</v>
      </c>
      <c r="DQ7" s="149" t="s">
        <v>133</v>
      </c>
      <c r="DR7" s="149" t="s">
        <v>133</v>
      </c>
      <c r="DS7" s="149"/>
      <c r="DT7" s="149" t="s">
        <v>137</v>
      </c>
      <c r="DU7" s="149"/>
      <c r="DW7" s="166" t="s">
        <v>173</v>
      </c>
      <c r="DX7" s="167"/>
      <c r="DY7" s="167"/>
      <c r="DZ7" s="167"/>
      <c r="EA7" s="167"/>
      <c r="EB7" s="169">
        <f>+EB4+EB5-EB6</f>
        <v>109415</v>
      </c>
      <c r="EC7" s="167"/>
      <c r="ED7" s="168"/>
      <c r="EF7" s="213">
        <f>+'Trial Balance'!AM10</f>
        <v>50000</v>
      </c>
      <c r="EG7" s="15"/>
      <c r="EH7" s="9">
        <f t="shared" ref="EH7:EH22" si="3">+EH6+SUM(EF7:EG7)</f>
        <v>140000</v>
      </c>
      <c r="EJ7" s="29" t="s">
        <v>175</v>
      </c>
      <c r="EK7" s="31">
        <v>956</v>
      </c>
      <c r="EM7" s="166" t="s">
        <v>180</v>
      </c>
      <c r="EN7" s="167"/>
      <c r="EO7" s="167"/>
      <c r="EP7" s="167"/>
      <c r="EQ7" s="167"/>
      <c r="ER7" s="201">
        <f>+ER4+ER5-ER6</f>
        <v>99296.09</v>
      </c>
      <c r="ES7" s="167"/>
      <c r="ET7" s="168"/>
      <c r="EV7" s="224">
        <v>50000</v>
      </c>
      <c r="EW7" s="15"/>
      <c r="EX7" s="9">
        <v>140000</v>
      </c>
      <c r="EZ7" s="213">
        <f>+AM10</f>
        <v>12250</v>
      </c>
      <c r="FA7" s="15"/>
      <c r="FB7" s="9">
        <f t="shared" si="2"/>
        <v>103874</v>
      </c>
      <c r="FC7" s="17"/>
      <c r="FD7" s="233"/>
      <c r="FE7" s="15"/>
    </row>
    <row r="8" spans="1:161" ht="16.5" thickTop="1" x14ac:dyDescent="0.25">
      <c r="A8" s="64"/>
      <c r="B8" s="4"/>
      <c r="C8" s="4"/>
      <c r="D8" s="4"/>
      <c r="F8" s="46"/>
      <c r="G8" s="4"/>
      <c r="H8" s="4"/>
      <c r="I8" s="4"/>
      <c r="K8" s="46">
        <v>42792</v>
      </c>
      <c r="L8" s="4" t="s">
        <v>101</v>
      </c>
      <c r="M8" s="4">
        <v>275</v>
      </c>
      <c r="N8" s="4"/>
      <c r="P8" s="46">
        <v>42794</v>
      </c>
      <c r="Q8" s="4" t="s">
        <v>1</v>
      </c>
      <c r="R8" s="4">
        <f>190*5</f>
        <v>950</v>
      </c>
      <c r="S8" s="4"/>
      <c r="U8" s="46"/>
      <c r="V8" s="4"/>
      <c r="W8" s="4"/>
      <c r="X8" s="4"/>
      <c r="Z8" s="46"/>
      <c r="AA8" s="4"/>
      <c r="AB8" s="4"/>
      <c r="AC8" s="4"/>
      <c r="AE8" s="46"/>
      <c r="AF8" s="4"/>
      <c r="AG8" s="4"/>
      <c r="AH8" s="4"/>
      <c r="AI8" s="19"/>
      <c r="AJ8" s="33" t="s">
        <v>18</v>
      </c>
      <c r="AK8" s="47">
        <f>+AW10</f>
        <v>11000</v>
      </c>
      <c r="AM8" s="15"/>
      <c r="AN8" s="15">
        <f>D7</f>
        <v>-1359</v>
      </c>
      <c r="AO8" s="9">
        <f>+AO7+SUM(AM8:AN8)</f>
        <v>92983</v>
      </c>
      <c r="AQ8" s="15"/>
      <c r="AR8" s="15">
        <f>D34</f>
        <v>-250</v>
      </c>
      <c r="AS8" s="9">
        <f>AS7+SUM(AQ8:AR8)</f>
        <v>965.27</v>
      </c>
      <c r="AU8" s="15"/>
      <c r="AV8" s="15"/>
      <c r="AW8" s="56">
        <f>+AW7+SUM(AU8:AV8)</f>
        <v>11000</v>
      </c>
      <c r="AY8" s="15">
        <f>R32</f>
        <v>5000</v>
      </c>
      <c r="AZ8" s="15"/>
      <c r="BA8" s="56">
        <f>+BA7+SUM(AY8:AZ8)</f>
        <v>103000</v>
      </c>
      <c r="BC8" s="15"/>
      <c r="BD8" s="15"/>
      <c r="BE8" s="57">
        <f>+BE7+SUM(BC8:BD8)</f>
        <v>0</v>
      </c>
      <c r="BG8" s="15">
        <f>C5</f>
        <v>1059</v>
      </c>
      <c r="BH8" s="15"/>
      <c r="BI8" s="57">
        <f>+BI7+SUM(BG8:BH8)</f>
        <v>-70941</v>
      </c>
      <c r="BK8" s="15"/>
      <c r="BL8" s="15">
        <f>S6</f>
        <v>-950</v>
      </c>
      <c r="BM8" s="3">
        <f>+BM7+SUM(BK8:BL8)</f>
        <v>-950</v>
      </c>
      <c r="BO8" s="15"/>
      <c r="BP8" s="15"/>
      <c r="BQ8" s="2">
        <f>+BQ7+SUM(BO8:BP8)</f>
        <v>0</v>
      </c>
      <c r="BS8" s="15"/>
      <c r="BT8" s="15"/>
      <c r="BU8" s="2">
        <f>+BU7+SUM(BS8:BT8)</f>
        <v>0</v>
      </c>
      <c r="BW8" s="29" t="str">
        <f>+AJ9</f>
        <v>Short-Term Investments</v>
      </c>
      <c r="BX8" s="12">
        <f t="shared" si="0"/>
        <v>0</v>
      </c>
      <c r="BY8" s="12"/>
      <c r="BZ8" s="12"/>
      <c r="CA8" s="29" t="str">
        <f>+AJ17</f>
        <v>Payroll Liability</v>
      </c>
      <c r="CB8" s="12">
        <f t="shared" si="1"/>
        <v>1653.5990000000002</v>
      </c>
      <c r="CC8" s="12"/>
      <c r="CE8" s="82">
        <v>42760</v>
      </c>
      <c r="CF8" s="83"/>
      <c r="CG8" s="84"/>
      <c r="CH8" s="106"/>
      <c r="CI8" s="103"/>
      <c r="CJ8" s="85">
        <v>1</v>
      </c>
      <c r="CK8" s="84">
        <v>400</v>
      </c>
      <c r="CL8" s="107">
        <f>CJ8*CK8</f>
        <v>400</v>
      </c>
      <c r="CM8" s="103"/>
      <c r="CN8" s="86">
        <f>CN7-CJ8</f>
        <v>1</v>
      </c>
      <c r="CO8" s="105">
        <f>CO7</f>
        <v>400</v>
      </c>
      <c r="CP8" s="105">
        <f>CN8*CO8</f>
        <v>400</v>
      </c>
      <c r="CR8" s="65"/>
      <c r="CS8" s="65">
        <v>-5000</v>
      </c>
      <c r="CT8" s="28">
        <f t="shared" ref="CT8:CT13" si="4">+CT7+SUM(CR8:CS8)</f>
        <v>430.5</v>
      </c>
      <c r="CU8" s="27"/>
      <c r="CV8" s="65"/>
      <c r="CW8" s="65">
        <v>-7500</v>
      </c>
      <c r="CX8" s="28">
        <f t="shared" ref="CX8:CX13" si="5">+CX7+SUM(CV8:CW8)</f>
        <v>399</v>
      </c>
      <c r="CZ8" s="12">
        <v>15000</v>
      </c>
      <c r="DA8" s="12"/>
      <c r="DB8" s="41">
        <f t="shared" ref="DB8:DB11" si="6">+DB7+SUM(CZ8:DA8)</f>
        <v>0</v>
      </c>
      <c r="DD8" s="12">
        <f>H29</f>
        <v>168</v>
      </c>
      <c r="DE8" s="12"/>
      <c r="DF8" s="41">
        <f>+DF7+SUM(DD8:DE8)</f>
        <v>0</v>
      </c>
      <c r="DH8" s="138" t="s">
        <v>85</v>
      </c>
      <c r="DI8" s="140">
        <f>SUM(DI6:DI7)</f>
        <v>5383.33</v>
      </c>
      <c r="DJ8" s="140">
        <f t="shared" ref="DJ8:DO8" si="7">SUM(DJ6:DJ7)</f>
        <v>307</v>
      </c>
      <c r="DK8" s="140">
        <f t="shared" si="7"/>
        <v>77</v>
      </c>
      <c r="DL8" s="140">
        <f t="shared" si="7"/>
        <v>830</v>
      </c>
      <c r="DM8" s="140">
        <f>SUM(DM6:DM7)</f>
        <v>4169.33</v>
      </c>
      <c r="DN8" s="140">
        <f t="shared" si="7"/>
        <v>307</v>
      </c>
      <c r="DO8" s="140">
        <f t="shared" si="7"/>
        <v>77</v>
      </c>
      <c r="DQ8" s="153" t="s">
        <v>135</v>
      </c>
      <c r="DR8" s="153" t="s">
        <v>134</v>
      </c>
      <c r="DS8" s="153" t="s">
        <v>136</v>
      </c>
      <c r="DT8" s="153" t="s">
        <v>138</v>
      </c>
      <c r="DU8" s="153" t="s">
        <v>137</v>
      </c>
      <c r="DW8" s="166"/>
      <c r="DX8" s="167"/>
      <c r="DY8" s="167"/>
      <c r="DZ8" s="167"/>
      <c r="EA8" s="167"/>
      <c r="EB8" s="167"/>
      <c r="EC8" s="167"/>
      <c r="ED8" s="168"/>
      <c r="EF8" s="15"/>
      <c r="EG8" s="213">
        <f>+'Trial Balance'!AN11</f>
        <v>-12000</v>
      </c>
      <c r="EH8" s="9">
        <f t="shared" si="3"/>
        <v>128000</v>
      </c>
      <c r="EJ8" s="29"/>
      <c r="EK8" s="12"/>
      <c r="EM8" s="166"/>
      <c r="EN8" s="167"/>
      <c r="EO8" s="167"/>
      <c r="EP8" s="167"/>
      <c r="EQ8" s="167"/>
      <c r="ER8" s="167"/>
      <c r="ES8" s="167"/>
      <c r="ET8" s="168"/>
      <c r="EV8" s="15"/>
      <c r="EW8" s="224">
        <v>-12000</v>
      </c>
      <c r="EX8" s="9">
        <v>128000</v>
      </c>
      <c r="EZ8" s="213">
        <f>+AM11</f>
        <v>825</v>
      </c>
      <c r="FA8" s="15"/>
      <c r="FB8" s="9">
        <f t="shared" si="2"/>
        <v>104699</v>
      </c>
      <c r="FC8" s="17"/>
      <c r="FD8" s="233"/>
      <c r="FE8" s="15"/>
    </row>
    <row r="9" spans="1:161" ht="18" thickBot="1" x14ac:dyDescent="0.35">
      <c r="A9" s="64">
        <v>42794</v>
      </c>
      <c r="B9" s="117" t="s">
        <v>56</v>
      </c>
      <c r="C9" s="4">
        <v>1063</v>
      </c>
      <c r="D9" s="4"/>
      <c r="F9" s="46"/>
      <c r="G9" s="4" t="s">
        <v>47</v>
      </c>
      <c r="H9" s="4">
        <v>400</v>
      </c>
      <c r="I9" s="4"/>
      <c r="K9" s="46"/>
      <c r="L9" s="116" t="s">
        <v>1</v>
      </c>
      <c r="M9" s="4"/>
      <c r="N9" s="4">
        <f>-M8</f>
        <v>-275</v>
      </c>
      <c r="P9" s="46"/>
      <c r="Q9" s="116" t="s">
        <v>46</v>
      </c>
      <c r="R9" s="4"/>
      <c r="S9" s="4">
        <f>-R8</f>
        <v>-950</v>
      </c>
      <c r="U9" s="46"/>
      <c r="V9" s="4" t="s">
        <v>52</v>
      </c>
      <c r="W9" s="4">
        <f>SUM(DN16:DO16)</f>
        <v>411.79950000000008</v>
      </c>
      <c r="X9" s="4"/>
      <c r="Z9" s="46"/>
      <c r="AA9" s="4"/>
      <c r="AB9" s="4"/>
      <c r="AC9" s="4"/>
      <c r="AE9" s="46"/>
      <c r="AF9" s="4"/>
      <c r="AG9" s="4"/>
      <c r="AH9" s="4"/>
      <c r="AI9" s="19"/>
      <c r="AJ9" s="33" t="s">
        <v>71</v>
      </c>
      <c r="AK9" s="47">
        <f>+AW17</f>
        <v>0</v>
      </c>
      <c r="AM9" s="15"/>
      <c r="AN9" s="15">
        <f>D11</f>
        <v>-1359</v>
      </c>
      <c r="AO9" s="9">
        <f t="shared" ref="AO9" si="8">+AO8+SUM(AM9:AN9)</f>
        <v>91624</v>
      </c>
      <c r="AQ9" s="15">
        <f>H5</f>
        <v>525</v>
      </c>
      <c r="AR9" s="15"/>
      <c r="AS9" s="9">
        <f>AS8+SUM(AQ9:AR9)</f>
        <v>1490.27</v>
      </c>
      <c r="AU9" s="15"/>
      <c r="AV9" s="15"/>
      <c r="AW9" s="56">
        <f>+AW8+SUM(AU9:AV9)</f>
        <v>11000</v>
      </c>
      <c r="AY9" s="15"/>
      <c r="AZ9" s="15"/>
      <c r="BA9" s="56">
        <f>+BA8+SUM(AY9:AZ9)</f>
        <v>103000</v>
      </c>
      <c r="BC9" s="15"/>
      <c r="BD9" s="15"/>
      <c r="BE9" s="57">
        <f t="shared" ref="BE9:BE11" si="9">+BE8+SUM(BC9:BD9)</f>
        <v>0</v>
      </c>
      <c r="BG9" s="15">
        <f>C9</f>
        <v>1063</v>
      </c>
      <c r="BH9" s="15"/>
      <c r="BI9" s="57">
        <f>+BI8+SUM(BG9:BH9)</f>
        <v>-69878</v>
      </c>
      <c r="BK9" s="15"/>
      <c r="BL9" s="15">
        <f>S9</f>
        <v>-950</v>
      </c>
      <c r="BM9" s="3">
        <f t="shared" ref="BM9:BM17" si="10">+BM8+SUM(BK9:BL9)</f>
        <v>-1900</v>
      </c>
      <c r="BO9" s="76"/>
      <c r="BP9" s="76"/>
      <c r="BQ9" s="2">
        <f t="shared" ref="BQ9:BQ10" si="11">+BQ8+SUM(BO9:BP9)</f>
        <v>0</v>
      </c>
      <c r="BS9" s="76"/>
      <c r="BT9" s="76"/>
      <c r="BU9" s="2">
        <f t="shared" ref="BU9:BU10" si="12">+BU8+SUM(BS9:BT9)</f>
        <v>0</v>
      </c>
      <c r="BW9" s="29" t="str">
        <f>+AJ10</f>
        <v>Undeposited Funds</v>
      </c>
      <c r="BX9" s="31">
        <f t="shared" si="0"/>
        <v>4499.5</v>
      </c>
      <c r="BY9" s="12"/>
      <c r="BZ9" s="12"/>
      <c r="CA9" s="29" t="str">
        <f>+AJ18</f>
        <v>Sales Tax Payable</v>
      </c>
      <c r="CB9" s="12">
        <f t="shared" si="1"/>
        <v>100.37</v>
      </c>
      <c r="CC9" s="12"/>
      <c r="CE9" s="82">
        <v>42778</v>
      </c>
      <c r="CF9" s="83"/>
      <c r="CG9" s="84"/>
      <c r="CH9" s="106"/>
      <c r="CI9" s="103"/>
      <c r="CJ9" s="85">
        <v>1</v>
      </c>
      <c r="CK9" s="84">
        <v>400</v>
      </c>
      <c r="CL9" s="107">
        <f>CJ9*CK9</f>
        <v>400</v>
      </c>
      <c r="CM9" s="103"/>
      <c r="CN9" s="86">
        <f>CN8-CJ9</f>
        <v>0</v>
      </c>
      <c r="CO9" s="105">
        <f>+CO8</f>
        <v>400</v>
      </c>
      <c r="CP9" s="105">
        <f>CN9*CO9</f>
        <v>0</v>
      </c>
      <c r="CR9" s="65"/>
      <c r="CS9" s="65">
        <v>-430.5</v>
      </c>
      <c r="CT9" s="28">
        <f t="shared" si="4"/>
        <v>0</v>
      </c>
      <c r="CU9" s="27"/>
      <c r="CV9" s="65"/>
      <c r="CW9" s="65"/>
      <c r="CX9" s="28">
        <f t="shared" si="5"/>
        <v>399</v>
      </c>
      <c r="CZ9" s="12"/>
      <c r="DA9" s="12">
        <f>+D21</f>
        <v>-1200</v>
      </c>
      <c r="DB9" s="41">
        <f t="shared" si="6"/>
        <v>-1200</v>
      </c>
      <c r="DQ9" s="157">
        <v>1</v>
      </c>
      <c r="DR9" s="158">
        <f>DT5</f>
        <v>1358.7288223687872</v>
      </c>
      <c r="DS9" s="158">
        <f>DT2*DT4/12</f>
        <v>300</v>
      </c>
      <c r="DT9" s="158">
        <f>DR9-DS9</f>
        <v>1058.7288223687872</v>
      </c>
      <c r="DU9" s="158">
        <f>DT2-DT9</f>
        <v>70941.271177631206</v>
      </c>
      <c r="DW9" s="170" t="s">
        <v>161</v>
      </c>
      <c r="DX9" s="167"/>
      <c r="DY9" s="167"/>
      <c r="DZ9" s="167"/>
      <c r="EA9" s="171" t="s">
        <v>162</v>
      </c>
      <c r="EB9" s="171"/>
      <c r="EC9" s="171"/>
      <c r="ED9" s="172"/>
      <c r="EF9" s="15"/>
      <c r="EG9" s="213">
        <f>+'Trial Balance'!AN12</f>
        <v>-16000</v>
      </c>
      <c r="EH9" s="9">
        <f t="shared" si="3"/>
        <v>112000</v>
      </c>
      <c r="EJ9" s="29"/>
      <c r="EK9" s="12"/>
      <c r="EM9" s="170" t="s">
        <v>161</v>
      </c>
      <c r="EN9" s="167"/>
      <c r="EO9" s="167"/>
      <c r="EP9" s="167"/>
      <c r="EQ9" s="171" t="s">
        <v>162</v>
      </c>
      <c r="ER9" s="171"/>
      <c r="ES9" s="171"/>
      <c r="ET9" s="172"/>
      <c r="EV9" s="15"/>
      <c r="EW9" s="224">
        <v>-16000</v>
      </c>
      <c r="EX9" s="9">
        <v>112000</v>
      </c>
      <c r="EZ9" s="15"/>
      <c r="FA9" s="213">
        <f>+AN12</f>
        <v>-168</v>
      </c>
      <c r="FB9" s="9">
        <f t="shared" si="2"/>
        <v>104531</v>
      </c>
      <c r="FC9" s="17"/>
      <c r="FD9" s="15" t="s">
        <v>179</v>
      </c>
      <c r="FE9" s="235">
        <f>SUM(FE4:FE8)</f>
        <v>98995</v>
      </c>
    </row>
    <row r="10" spans="1:161" ht="17.25" thickTop="1" thickBot="1" x14ac:dyDescent="0.3">
      <c r="A10" s="64"/>
      <c r="B10" s="116" t="s">
        <v>50</v>
      </c>
      <c r="C10" s="4">
        <v>296</v>
      </c>
      <c r="D10" s="4"/>
      <c r="F10" s="46"/>
      <c r="G10" s="116" t="s">
        <v>40</v>
      </c>
      <c r="H10" s="4"/>
      <c r="I10" s="4">
        <f>-H9</f>
        <v>-400</v>
      </c>
      <c r="K10" s="46"/>
      <c r="L10" s="4"/>
      <c r="M10" s="4"/>
      <c r="N10" s="4"/>
      <c r="P10" s="46"/>
      <c r="Q10" s="4"/>
      <c r="R10" s="4"/>
      <c r="S10" s="4"/>
      <c r="U10" s="46"/>
      <c r="V10" s="4" t="s">
        <v>59</v>
      </c>
      <c r="W10" s="4"/>
      <c r="X10" s="4">
        <f>-W9</f>
        <v>-411.79950000000008</v>
      </c>
      <c r="Z10" s="46"/>
      <c r="AA10" s="4"/>
      <c r="AB10" s="4"/>
      <c r="AC10" s="4"/>
      <c r="AE10" s="46"/>
      <c r="AF10" s="4"/>
      <c r="AG10" s="4"/>
      <c r="AH10" s="4"/>
      <c r="AI10" s="19"/>
      <c r="AJ10" s="33" t="s">
        <v>101</v>
      </c>
      <c r="AK10" s="47">
        <f>+AW32</f>
        <v>4499.5</v>
      </c>
      <c r="AM10" s="15">
        <f>C13</f>
        <v>12250</v>
      </c>
      <c r="AN10" s="15"/>
      <c r="AO10" s="9">
        <f>+AO9+SUM(AM10:AN10)</f>
        <v>103874</v>
      </c>
      <c r="AQ10" s="15">
        <f>H12</f>
        <v>630</v>
      </c>
      <c r="AR10" s="15"/>
      <c r="AS10" s="9">
        <f>AS9+SUM(AQ10:AR10)</f>
        <v>2120.27</v>
      </c>
      <c r="AU10" s="15"/>
      <c r="AV10" s="15"/>
      <c r="AW10" s="56">
        <f>+AW9+SUM(AU10:AV10)</f>
        <v>11000</v>
      </c>
      <c r="AY10" s="15"/>
      <c r="AZ10" s="15"/>
      <c r="BA10" s="56">
        <f>+BA9+SUM(AY10:AZ10)</f>
        <v>103000</v>
      </c>
      <c r="BC10" s="15"/>
      <c r="BD10" s="15"/>
      <c r="BE10" s="57">
        <f t="shared" si="9"/>
        <v>0</v>
      </c>
      <c r="BG10" s="15"/>
      <c r="BH10" s="15">
        <f>S33</f>
        <v>-5000</v>
      </c>
      <c r="BI10" s="57">
        <f>+BI9+SUM(BG10:BH10)</f>
        <v>-74878</v>
      </c>
      <c r="BK10" s="15"/>
      <c r="BL10" s="15">
        <f>S12</f>
        <v>-1900</v>
      </c>
      <c r="BM10" s="3">
        <f t="shared" si="10"/>
        <v>-3800</v>
      </c>
      <c r="BO10" s="15"/>
      <c r="BP10" s="15"/>
      <c r="BQ10" s="2">
        <f t="shared" si="11"/>
        <v>0</v>
      </c>
      <c r="BS10" s="15"/>
      <c r="BT10" s="15"/>
      <c r="BU10" s="2">
        <f t="shared" si="12"/>
        <v>0</v>
      </c>
      <c r="BW10" s="30" t="s">
        <v>38</v>
      </c>
      <c r="BX10" s="12"/>
      <c r="BY10" s="12">
        <f>SUM(BX4:BX9)</f>
        <v>126778.5695</v>
      </c>
      <c r="BZ10" s="12"/>
      <c r="CA10" s="29" t="str">
        <f>+AJ19</f>
        <v>Unearned Revenue</v>
      </c>
      <c r="CB10" s="12">
        <f t="shared" si="1"/>
        <v>0</v>
      </c>
      <c r="CC10" s="12"/>
      <c r="CE10" s="82">
        <v>42780</v>
      </c>
      <c r="CF10" s="83">
        <v>3</v>
      </c>
      <c r="CG10" s="84">
        <v>400</v>
      </c>
      <c r="CH10" s="106">
        <f>+CF10*CG10</f>
        <v>1200</v>
      </c>
      <c r="CI10" s="103"/>
      <c r="CJ10" s="85"/>
      <c r="CK10" s="84"/>
      <c r="CL10" s="107"/>
      <c r="CM10" s="103"/>
      <c r="CN10" s="86">
        <f>+CF10</f>
        <v>3</v>
      </c>
      <c r="CO10" s="105">
        <f>+CG10</f>
        <v>400</v>
      </c>
      <c r="CP10" s="105">
        <f>+CN10*CO10</f>
        <v>1200</v>
      </c>
      <c r="CR10" s="65"/>
      <c r="CS10" s="65">
        <f>D34</f>
        <v>-250</v>
      </c>
      <c r="CT10" s="28">
        <f t="shared" si="4"/>
        <v>-250</v>
      </c>
      <c r="CU10" s="27"/>
      <c r="CV10" s="65"/>
      <c r="CW10" s="65"/>
      <c r="CX10" s="28">
        <f t="shared" si="5"/>
        <v>399</v>
      </c>
      <c r="CZ10" s="12"/>
      <c r="DA10" s="12"/>
      <c r="DB10" s="41">
        <f t="shared" si="6"/>
        <v>-1200</v>
      </c>
      <c r="DD10" s="17"/>
      <c r="DE10" s="17"/>
      <c r="DF10" s="17"/>
      <c r="DH10" s="48" t="s">
        <v>108</v>
      </c>
      <c r="DI10" s="49"/>
      <c r="DJ10" s="160" t="s">
        <v>155</v>
      </c>
      <c r="DK10" s="161" t="s">
        <v>156</v>
      </c>
      <c r="DL10" s="49"/>
      <c r="DM10" s="50"/>
      <c r="DQ10" s="156">
        <v>2</v>
      </c>
      <c r="DR10" s="142">
        <f>DR9</f>
        <v>1358.7288223687872</v>
      </c>
      <c r="DS10" s="142">
        <f>DU9*DT4/12</f>
        <v>295.58862990679671</v>
      </c>
      <c r="DT10" s="142">
        <f>DR10-DS10</f>
        <v>1063.1401924619904</v>
      </c>
      <c r="DU10" s="142">
        <f>DU9-DT10</f>
        <v>69878.13098516922</v>
      </c>
      <c r="DW10" s="173" t="s">
        <v>27</v>
      </c>
      <c r="DX10" s="167"/>
      <c r="DY10" s="174" t="s">
        <v>134</v>
      </c>
      <c r="DZ10" s="167"/>
      <c r="EA10" s="175" t="s">
        <v>163</v>
      </c>
      <c r="EB10" s="175" t="s">
        <v>164</v>
      </c>
      <c r="EC10" s="167"/>
      <c r="ED10" s="176" t="s">
        <v>134</v>
      </c>
      <c r="EF10" s="15"/>
      <c r="EG10" s="213">
        <f>+'Trial Balance'!AN13</f>
        <v>-7000</v>
      </c>
      <c r="EH10" s="9">
        <f t="shared" si="3"/>
        <v>105000</v>
      </c>
      <c r="EJ10" s="12" t="s">
        <v>179</v>
      </c>
      <c r="EK10" s="32">
        <f>SUM(EK5:EK9)</f>
        <v>94342</v>
      </c>
      <c r="EM10" s="173" t="s">
        <v>27</v>
      </c>
      <c r="EN10" s="167"/>
      <c r="EO10" s="174" t="s">
        <v>134</v>
      </c>
      <c r="EP10" s="167"/>
      <c r="EQ10" s="175" t="s">
        <v>163</v>
      </c>
      <c r="ER10" s="175" t="s">
        <v>164</v>
      </c>
      <c r="ES10" s="167"/>
      <c r="ET10" s="176" t="s">
        <v>134</v>
      </c>
      <c r="EV10" s="15"/>
      <c r="EW10" s="224">
        <v>-7000</v>
      </c>
      <c r="EX10" s="9">
        <v>105000</v>
      </c>
      <c r="EZ10" s="230">
        <f>+AM13</f>
        <v>1641</v>
      </c>
      <c r="FA10" s="15"/>
      <c r="FB10" s="9">
        <f t="shared" si="2"/>
        <v>106172</v>
      </c>
      <c r="FC10" s="17"/>
      <c r="FD10" s="236"/>
      <c r="FE10" s="236"/>
    </row>
    <row r="11" spans="1:161" ht="16.5" thickBot="1" x14ac:dyDescent="0.3">
      <c r="A11" s="64"/>
      <c r="B11" s="116" t="s">
        <v>39</v>
      </c>
      <c r="C11" s="4"/>
      <c r="D11" s="4">
        <v>-1359</v>
      </c>
      <c r="F11" s="46"/>
      <c r="G11" s="4"/>
      <c r="H11" s="4"/>
      <c r="I11" s="4"/>
      <c r="K11" s="46">
        <v>42792</v>
      </c>
      <c r="L11" s="4" t="s">
        <v>39</v>
      </c>
      <c r="M11" s="4">
        <v>1641</v>
      </c>
      <c r="N11" s="4"/>
      <c r="P11" s="46">
        <v>42794</v>
      </c>
      <c r="Q11" s="4" t="s">
        <v>1</v>
      </c>
      <c r="R11" s="4">
        <f>190*10</f>
        <v>1900</v>
      </c>
      <c r="S11" s="4"/>
      <c r="U11" s="46"/>
      <c r="V11" s="4"/>
      <c r="W11" s="4"/>
      <c r="X11" s="4"/>
      <c r="Z11" s="46"/>
      <c r="AA11" s="4"/>
      <c r="AB11" s="4"/>
      <c r="AC11" s="4"/>
      <c r="AE11" s="46"/>
      <c r="AF11" s="4"/>
      <c r="AG11" s="4"/>
      <c r="AH11" s="4"/>
      <c r="AI11" s="19"/>
      <c r="AJ11" s="33" t="s">
        <v>9</v>
      </c>
      <c r="AK11" s="47">
        <f>+AW39</f>
        <v>0</v>
      </c>
      <c r="AM11" s="15">
        <f>C30</f>
        <v>825</v>
      </c>
      <c r="AN11" s="15"/>
      <c r="AO11" s="9">
        <f t="shared" ref="AO11:AO37" si="13">+AO10+SUM(AM11:AN11)</f>
        <v>104699</v>
      </c>
      <c r="AP11" s="17" t="s">
        <v>16</v>
      </c>
      <c r="AQ11" s="15">
        <f>H19</f>
        <v>420</v>
      </c>
      <c r="AR11" s="15"/>
      <c r="AS11" s="9">
        <f t="shared" ref="AS11:AS27" si="14">AS10+SUM(AQ11:AR11)</f>
        <v>2540.27</v>
      </c>
      <c r="AU11" s="16"/>
      <c r="AV11" s="16"/>
      <c r="AW11" s="16"/>
      <c r="BC11" s="15"/>
      <c r="BD11" s="15"/>
      <c r="BE11" s="57">
        <f t="shared" si="9"/>
        <v>0</v>
      </c>
      <c r="BK11" s="15"/>
      <c r="BL11" s="15">
        <f>S15</f>
        <v>-1050</v>
      </c>
      <c r="BM11" s="3">
        <f t="shared" si="10"/>
        <v>-4850</v>
      </c>
      <c r="BO11" s="51"/>
      <c r="BP11" s="23"/>
      <c r="BQ11" s="52"/>
      <c r="BS11" s="16"/>
      <c r="BT11" s="16"/>
      <c r="BU11" s="16"/>
      <c r="BW11" s="12" t="s">
        <v>70</v>
      </c>
      <c r="BX11" s="12"/>
      <c r="BY11" s="12"/>
      <c r="BZ11" s="12"/>
      <c r="CA11" s="30" t="s">
        <v>67</v>
      </c>
      <c r="CB11" s="12"/>
      <c r="CC11" s="12">
        <f>SUM(CB4:CB10)</f>
        <v>3953.9690000000001</v>
      </c>
      <c r="CE11" s="82"/>
      <c r="CF11" s="83"/>
      <c r="CG11" s="84"/>
      <c r="CH11" s="106"/>
      <c r="CI11" s="103"/>
      <c r="CJ11" s="85">
        <v>1</v>
      </c>
      <c r="CK11" s="84">
        <f>CO10</f>
        <v>400</v>
      </c>
      <c r="CL11" s="107">
        <f>CJ11*CK11</f>
        <v>400</v>
      </c>
      <c r="CM11" s="103"/>
      <c r="CN11" s="86">
        <f>CN10-CJ11</f>
        <v>2</v>
      </c>
      <c r="CO11" s="105">
        <f>CO10</f>
        <v>400</v>
      </c>
      <c r="CP11" s="105">
        <f>CN11*CO11</f>
        <v>800</v>
      </c>
      <c r="CR11" s="65">
        <f>H5</f>
        <v>525</v>
      </c>
      <c r="CS11" s="65"/>
      <c r="CT11" s="28">
        <f t="shared" si="4"/>
        <v>275</v>
      </c>
      <c r="CU11" s="27"/>
      <c r="CV11" s="65"/>
      <c r="CW11" s="65"/>
      <c r="CX11" s="28">
        <f t="shared" si="5"/>
        <v>399</v>
      </c>
      <c r="CZ11" s="12"/>
      <c r="DA11" s="12"/>
      <c r="DB11" s="41">
        <f t="shared" si="6"/>
        <v>-1200</v>
      </c>
      <c r="DD11" s="17"/>
      <c r="DE11" s="17"/>
      <c r="DF11" s="17"/>
      <c r="DI11" s="135" t="s">
        <v>121</v>
      </c>
      <c r="DJ11" s="136"/>
      <c r="DK11" s="135"/>
      <c r="DL11" s="136"/>
      <c r="DM11" s="135"/>
      <c r="DN11" s="135" t="s">
        <v>122</v>
      </c>
      <c r="DO11" s="136"/>
      <c r="DQ11" s="154">
        <v>3</v>
      </c>
      <c r="DR11" s="138">
        <f>DR10</f>
        <v>1358.7288223687872</v>
      </c>
      <c r="DS11" s="138">
        <f>DU10*DT4/12</f>
        <v>291.1588791048718</v>
      </c>
      <c r="DT11" s="138">
        <f>DR11-DS11</f>
        <v>1067.5699432639153</v>
      </c>
      <c r="DU11" s="138">
        <f>DU10-DT11</f>
        <v>68810.561041905312</v>
      </c>
      <c r="DW11" s="177">
        <v>42749</v>
      </c>
      <c r="DX11" s="178"/>
      <c r="DY11" s="198">
        <v>50000</v>
      </c>
      <c r="DZ11" s="178"/>
      <c r="EA11" s="179">
        <v>42749</v>
      </c>
      <c r="EB11" s="180">
        <v>1001</v>
      </c>
      <c r="EC11" s="178"/>
      <c r="ED11" s="199">
        <v>12000</v>
      </c>
      <c r="EF11" s="213">
        <f>+'Trial Balance'!AM14</f>
        <v>628</v>
      </c>
      <c r="EG11" s="15"/>
      <c r="EH11" s="9">
        <f t="shared" si="3"/>
        <v>105628</v>
      </c>
      <c r="EM11" s="226">
        <v>42769</v>
      </c>
      <c r="EN11" s="184"/>
      <c r="EO11" s="212">
        <v>955.5</v>
      </c>
      <c r="EP11" s="178"/>
      <c r="EQ11" s="179">
        <v>42771</v>
      </c>
      <c r="ER11" s="180">
        <v>1006</v>
      </c>
      <c r="ES11" s="178"/>
      <c r="ET11" s="214">
        <v>11000</v>
      </c>
      <c r="EV11" s="224">
        <v>628</v>
      </c>
      <c r="EW11" s="15"/>
      <c r="EX11" s="9">
        <v>105628</v>
      </c>
      <c r="EZ11" s="15"/>
      <c r="FA11" s="213">
        <f>+AN14</f>
        <v>-123</v>
      </c>
      <c r="FB11" s="9">
        <f>+FB10+SUM(EZ11:FA11)</f>
        <v>106049</v>
      </c>
      <c r="FC11" s="17"/>
      <c r="FD11" s="237" t="s">
        <v>170</v>
      </c>
      <c r="FE11" s="237"/>
    </row>
    <row r="12" spans="1:161" ht="16.5" thickBot="1" x14ac:dyDescent="0.3">
      <c r="A12" s="64"/>
      <c r="B12" s="117"/>
      <c r="C12" s="4"/>
      <c r="D12" s="4"/>
      <c r="F12" s="46">
        <v>42785</v>
      </c>
      <c r="G12" s="4" t="s">
        <v>1</v>
      </c>
      <c r="H12" s="4">
        <f>600*1.05</f>
        <v>630</v>
      </c>
      <c r="I12" s="4"/>
      <c r="K12" s="46"/>
      <c r="L12" s="116" t="s">
        <v>101</v>
      </c>
      <c r="M12" s="4"/>
      <c r="N12" s="4">
        <f>-M11</f>
        <v>-1641</v>
      </c>
      <c r="P12" s="46"/>
      <c r="Q12" s="116" t="s">
        <v>46</v>
      </c>
      <c r="R12" s="4"/>
      <c r="S12" s="4">
        <f>-R11</f>
        <v>-1900</v>
      </c>
      <c r="U12" s="46">
        <v>42794</v>
      </c>
      <c r="V12" s="4" t="s">
        <v>101</v>
      </c>
      <c r="W12" s="4">
        <v>4500</v>
      </c>
      <c r="X12" s="4"/>
      <c r="Z12" s="46"/>
      <c r="AA12" s="4"/>
      <c r="AB12" s="4"/>
      <c r="AC12" s="4"/>
      <c r="AE12" s="46"/>
      <c r="AF12" s="4"/>
      <c r="AG12" s="4"/>
      <c r="AH12" s="4"/>
      <c r="AI12" s="19"/>
      <c r="AJ12" s="33" t="s">
        <v>69</v>
      </c>
      <c r="AK12" s="47">
        <f>+BA10</f>
        <v>103000</v>
      </c>
      <c r="AM12" s="15"/>
      <c r="AN12" s="15">
        <f>I30</f>
        <v>-168</v>
      </c>
      <c r="AO12" s="9">
        <f t="shared" si="13"/>
        <v>104531</v>
      </c>
      <c r="AQ12" s="15"/>
      <c r="AR12" s="15">
        <f>I27</f>
        <v>-300</v>
      </c>
      <c r="AS12" s="9">
        <f t="shared" si="14"/>
        <v>2240.27</v>
      </c>
      <c r="AU12" s="37" t="str">
        <f>+AJ9</f>
        <v>Short-Term Investments</v>
      </c>
      <c r="AV12" s="37"/>
      <c r="AW12" s="40"/>
      <c r="AY12" s="38" t="str">
        <f>+AJ13</f>
        <v>Accounts Payable</v>
      </c>
      <c r="AZ12" s="38"/>
      <c r="BA12" s="39"/>
      <c r="BC12" s="16"/>
      <c r="BD12" s="16"/>
      <c r="BE12" s="16"/>
      <c r="BG12" s="59" t="str">
        <f>+AJ21</f>
        <v>Owners Draw</v>
      </c>
      <c r="BH12" s="60"/>
      <c r="BI12" s="61"/>
      <c r="BK12" s="15"/>
      <c r="BL12" s="15">
        <f>S18</f>
        <v>-900</v>
      </c>
      <c r="BM12" s="3">
        <f t="shared" si="10"/>
        <v>-5750</v>
      </c>
      <c r="BO12" s="48" t="str">
        <f>+AJ29</f>
        <v>Insurance Expense</v>
      </c>
      <c r="BP12" s="49"/>
      <c r="BQ12" s="50"/>
      <c r="BS12" s="48" t="str">
        <f>+AJ34</f>
        <v>Payroll Expenses</v>
      </c>
      <c r="BT12" s="49"/>
      <c r="BU12" s="50"/>
      <c r="BW12" s="12" t="str">
        <f>+AJ12</f>
        <v>Furniture &amp; Equipment</v>
      </c>
      <c r="BX12" s="12">
        <f>+AK12</f>
        <v>103000</v>
      </c>
      <c r="BY12" s="12"/>
      <c r="BZ12" s="12"/>
      <c r="CA12" s="12" t="str">
        <f>+AJ20</f>
        <v>Loan Payable -  Long Term</v>
      </c>
      <c r="CB12" s="12"/>
      <c r="CC12" s="31">
        <f>-AK20</f>
        <v>74878</v>
      </c>
      <c r="CE12" s="82"/>
      <c r="CF12" s="83"/>
      <c r="CG12" s="84"/>
      <c r="CH12" s="106"/>
      <c r="CI12" s="103"/>
      <c r="CJ12" s="85"/>
      <c r="CK12" s="84"/>
      <c r="CL12" s="107"/>
      <c r="CM12" s="103"/>
      <c r="CN12" s="86"/>
      <c r="CO12" s="105"/>
      <c r="CP12" s="105"/>
      <c r="CR12" s="65"/>
      <c r="CS12" s="65">
        <f>N9</f>
        <v>-275</v>
      </c>
      <c r="CT12" s="28">
        <f t="shared" si="4"/>
        <v>0</v>
      </c>
      <c r="CU12" s="27"/>
      <c r="CV12" s="65"/>
      <c r="CW12" s="65"/>
      <c r="CX12" s="28">
        <f t="shared" si="5"/>
        <v>399</v>
      </c>
      <c r="CZ12" s="17"/>
      <c r="DA12" s="17"/>
      <c r="DB12" s="17"/>
      <c r="DD12" s="17"/>
      <c r="DE12" s="17"/>
      <c r="DF12" s="17"/>
      <c r="DH12" s="137" t="s">
        <v>111</v>
      </c>
      <c r="DI12" s="137" t="s">
        <v>85</v>
      </c>
      <c r="DJ12" s="137" t="s">
        <v>114</v>
      </c>
      <c r="DK12" s="137"/>
      <c r="DL12" s="137" t="s">
        <v>117</v>
      </c>
      <c r="DM12" s="137" t="s">
        <v>119</v>
      </c>
      <c r="DN12" s="137" t="s">
        <v>114</v>
      </c>
      <c r="DO12" s="137"/>
      <c r="DQ12" s="154">
        <v>4</v>
      </c>
      <c r="DR12" s="138">
        <f>DR11</f>
        <v>1358.7288223687872</v>
      </c>
      <c r="DS12" s="138">
        <f>DU11*$DT$4/12</f>
        <v>286.7106710079388</v>
      </c>
      <c r="DT12" s="138">
        <f>DR12-DS12</f>
        <v>1072.0181513608484</v>
      </c>
      <c r="DU12" s="138">
        <f>DU11-DT12</f>
        <v>67738.542890544457</v>
      </c>
      <c r="DW12" s="177">
        <v>42749</v>
      </c>
      <c r="DX12" s="178"/>
      <c r="DY12" s="198">
        <v>65000</v>
      </c>
      <c r="DZ12" s="178"/>
      <c r="EA12" s="179">
        <v>42754</v>
      </c>
      <c r="EB12" s="180">
        <v>1002</v>
      </c>
      <c r="EC12" s="178"/>
      <c r="ED12" s="199">
        <v>16000</v>
      </c>
      <c r="EF12" s="213">
        <f>+'Trial Balance'!AM15</f>
        <v>20500</v>
      </c>
      <c r="EG12" s="15"/>
      <c r="EH12" s="9">
        <f t="shared" si="3"/>
        <v>126128</v>
      </c>
      <c r="EJ12" s="210" t="s">
        <v>170</v>
      </c>
      <c r="EK12" s="210"/>
      <c r="EM12" s="226">
        <v>42775</v>
      </c>
      <c r="EN12" s="184"/>
      <c r="EO12" s="212">
        <v>12250</v>
      </c>
      <c r="EP12" s="178"/>
      <c r="EQ12" s="179">
        <v>42771</v>
      </c>
      <c r="ER12" s="180">
        <v>1007</v>
      </c>
      <c r="ES12" s="178"/>
      <c r="ET12" s="214">
        <v>500</v>
      </c>
      <c r="EV12" s="224">
        <v>20500</v>
      </c>
      <c r="EW12" s="15"/>
      <c r="EX12" s="9">
        <v>126128</v>
      </c>
      <c r="EZ12" s="15"/>
      <c r="FA12" s="213">
        <v>-830</v>
      </c>
      <c r="FB12" s="9">
        <f t="shared" ref="FB12:FB19" si="15">+FB11+SUM(EZ12:FA12)</f>
        <v>105219</v>
      </c>
      <c r="FC12" s="17"/>
      <c r="FD12" s="233" t="s">
        <v>15</v>
      </c>
      <c r="FE12" s="15">
        <v>99116</v>
      </c>
    </row>
    <row r="13" spans="1:161" ht="16.5" thickBot="1" x14ac:dyDescent="0.3">
      <c r="A13" s="64">
        <v>42772</v>
      </c>
      <c r="B13" s="117" t="s">
        <v>39</v>
      </c>
      <c r="C13" s="4">
        <v>12250</v>
      </c>
      <c r="D13" s="4"/>
      <c r="F13" s="46"/>
      <c r="G13" s="116" t="s">
        <v>45</v>
      </c>
      <c r="H13" s="4"/>
      <c r="I13" s="4">
        <v>-600</v>
      </c>
      <c r="K13" s="46"/>
      <c r="L13" s="4"/>
      <c r="M13" s="4"/>
      <c r="N13" s="4"/>
      <c r="P13" s="46"/>
      <c r="Q13" s="4"/>
      <c r="R13" s="4"/>
      <c r="S13" s="4"/>
      <c r="U13" s="46"/>
      <c r="V13" s="116" t="s">
        <v>57</v>
      </c>
      <c r="W13" s="4"/>
      <c r="X13" s="4">
        <f>-W12</f>
        <v>-4500</v>
      </c>
      <c r="Z13" s="46"/>
      <c r="AA13" s="4"/>
      <c r="AB13" s="4"/>
      <c r="AC13" s="4"/>
      <c r="AE13" s="46"/>
      <c r="AF13" s="4"/>
      <c r="AG13" s="4"/>
      <c r="AH13" s="4"/>
      <c r="AI13" s="19"/>
      <c r="AJ13" s="34" t="s">
        <v>2</v>
      </c>
      <c r="AK13" s="7">
        <f>+BA25</f>
        <v>-1200</v>
      </c>
      <c r="AM13" s="15">
        <f>M11</f>
        <v>1641</v>
      </c>
      <c r="AN13" s="15"/>
      <c r="AO13" s="9">
        <f t="shared" si="13"/>
        <v>106172</v>
      </c>
      <c r="AQ13" s="15"/>
      <c r="AR13" s="15">
        <f>N6</f>
        <v>-816</v>
      </c>
      <c r="AS13" s="9">
        <f t="shared" si="14"/>
        <v>1424.27</v>
      </c>
      <c r="AU13" s="18" t="s">
        <v>6</v>
      </c>
      <c r="AV13" s="18" t="s">
        <v>7</v>
      </c>
      <c r="AW13" s="53" t="s">
        <v>4</v>
      </c>
      <c r="AY13" s="18" t="s">
        <v>6</v>
      </c>
      <c r="AZ13" s="18" t="s">
        <v>7</v>
      </c>
      <c r="BA13" s="53" t="s">
        <v>4</v>
      </c>
      <c r="BC13" s="38" t="str">
        <f>+AJ17</f>
        <v>Payroll Liability</v>
      </c>
      <c r="BD13" s="38"/>
      <c r="BE13" s="39"/>
      <c r="BG13" s="54" t="s">
        <v>6</v>
      </c>
      <c r="BH13" s="54" t="s">
        <v>7</v>
      </c>
      <c r="BI13" s="55" t="s">
        <v>4</v>
      </c>
      <c r="BK13" s="15"/>
      <c r="BL13" s="15">
        <f>S21</f>
        <v>-1350</v>
      </c>
      <c r="BM13" s="3">
        <f t="shared" si="10"/>
        <v>-7100</v>
      </c>
      <c r="BO13" s="54" t="s">
        <v>6</v>
      </c>
      <c r="BP13" s="54" t="s">
        <v>7</v>
      </c>
      <c r="BQ13" s="55" t="s">
        <v>4</v>
      </c>
      <c r="BS13" s="54" t="s">
        <v>6</v>
      </c>
      <c r="BT13" s="54" t="s">
        <v>7</v>
      </c>
      <c r="BU13" s="55" t="s">
        <v>4</v>
      </c>
      <c r="BW13" s="29" t="s">
        <v>63</v>
      </c>
      <c r="BX13" s="31">
        <f>-AK11</f>
        <v>0</v>
      </c>
      <c r="BY13" s="12"/>
      <c r="BZ13" s="12"/>
      <c r="CA13" s="12" t="s">
        <v>21</v>
      </c>
      <c r="CB13" s="12"/>
      <c r="CC13" s="12">
        <f>+SUM(CC11:CC12)</f>
        <v>78831.968999999997</v>
      </c>
      <c r="CE13" s="82"/>
      <c r="CF13" s="83"/>
      <c r="CG13" s="84"/>
      <c r="CH13" s="106"/>
      <c r="CI13" s="103"/>
      <c r="CJ13" s="85"/>
      <c r="CK13" s="84"/>
      <c r="CL13" s="107"/>
      <c r="CM13" s="103"/>
      <c r="CN13" s="86"/>
      <c r="CO13" s="105"/>
      <c r="CP13" s="105"/>
      <c r="CR13" s="65"/>
      <c r="CS13" s="65"/>
      <c r="CT13" s="28">
        <f t="shared" si="4"/>
        <v>0</v>
      </c>
      <c r="CU13" s="27"/>
      <c r="CV13" s="65"/>
      <c r="CW13" s="65"/>
      <c r="CX13" s="28">
        <f t="shared" si="5"/>
        <v>399</v>
      </c>
      <c r="CZ13" s="38" t="s">
        <v>143</v>
      </c>
      <c r="DA13" s="126"/>
      <c r="DB13" s="127"/>
      <c r="DD13" s="38" t="s">
        <v>144</v>
      </c>
      <c r="DE13" s="126"/>
      <c r="DF13" s="127"/>
      <c r="DH13" s="137"/>
      <c r="DI13" s="137" t="s">
        <v>113</v>
      </c>
      <c r="DJ13" s="137" t="s">
        <v>115</v>
      </c>
      <c r="DK13" s="137" t="s">
        <v>116</v>
      </c>
      <c r="DL13" s="137" t="s">
        <v>118</v>
      </c>
      <c r="DM13" s="137" t="s">
        <v>112</v>
      </c>
      <c r="DN13" s="137" t="s">
        <v>115</v>
      </c>
      <c r="DO13" s="137" t="s">
        <v>116</v>
      </c>
      <c r="DQ13" s="154">
        <v>5</v>
      </c>
      <c r="DR13" s="138">
        <f t="shared" ref="DR13:DR68" si="16">DR12</f>
        <v>1358.7288223687872</v>
      </c>
      <c r="DS13" s="138">
        <f>DU12*$DT$4/12</f>
        <v>282.24392871060189</v>
      </c>
      <c r="DT13" s="138">
        <f>DR13-DS13</f>
        <v>1076.4848936581852</v>
      </c>
      <c r="DU13" s="138">
        <f>DU12-DT13</f>
        <v>66662.057996886273</v>
      </c>
      <c r="DW13" s="177">
        <v>42755</v>
      </c>
      <c r="DX13" s="178"/>
      <c r="DY13" s="198">
        <v>628</v>
      </c>
      <c r="DZ13" s="178"/>
      <c r="EA13" s="179">
        <v>42755</v>
      </c>
      <c r="EB13" s="180">
        <v>1003</v>
      </c>
      <c r="EC13" s="178"/>
      <c r="ED13" s="199">
        <v>7000</v>
      </c>
      <c r="EF13" s="15"/>
      <c r="EG13" s="213">
        <f>+'Trial Balance'!AN16</f>
        <v>-400</v>
      </c>
      <c r="EH13" s="9">
        <f t="shared" si="3"/>
        <v>125728</v>
      </c>
      <c r="EJ13" s="29" t="s">
        <v>15</v>
      </c>
      <c r="EK13" s="12">
        <v>94437</v>
      </c>
      <c r="EM13" s="226">
        <v>42781</v>
      </c>
      <c r="EN13" s="184"/>
      <c r="EO13" s="212">
        <v>825</v>
      </c>
      <c r="EP13" s="178"/>
      <c r="EQ13" s="179">
        <v>42772</v>
      </c>
      <c r="ER13" s="180">
        <v>1009</v>
      </c>
      <c r="ES13" s="178"/>
      <c r="ET13" s="214">
        <v>360</v>
      </c>
      <c r="EV13" s="15"/>
      <c r="EW13" s="224">
        <v>-400</v>
      </c>
      <c r="EX13" s="9">
        <v>125728</v>
      </c>
      <c r="EZ13" s="15"/>
      <c r="FA13" s="215">
        <v>-154</v>
      </c>
      <c r="FB13" s="9">
        <f t="shared" si="15"/>
        <v>105065</v>
      </c>
      <c r="FC13" s="17"/>
      <c r="FD13" s="233" t="s">
        <v>165</v>
      </c>
      <c r="FE13" s="15">
        <v>-100</v>
      </c>
    </row>
    <row r="14" spans="1:161" ht="16.5" thickBot="1" x14ac:dyDescent="0.3">
      <c r="A14" s="64"/>
      <c r="B14" s="116" t="s">
        <v>71</v>
      </c>
      <c r="C14" s="4"/>
      <c r="D14" s="4">
        <v>-12000</v>
      </c>
      <c r="F14" s="46"/>
      <c r="G14" s="116" t="s">
        <v>61</v>
      </c>
      <c r="H14" s="4"/>
      <c r="I14" s="4">
        <f>-SUM(H12:I13)</f>
        <v>-30</v>
      </c>
      <c r="K14" s="46">
        <v>42794</v>
      </c>
      <c r="L14" s="4" t="s">
        <v>61</v>
      </c>
      <c r="M14" s="4">
        <f>-N15</f>
        <v>123</v>
      </c>
      <c r="N14" s="4"/>
      <c r="P14" s="46">
        <v>42794</v>
      </c>
      <c r="Q14" s="4" t="s">
        <v>1</v>
      </c>
      <c r="R14" s="4">
        <f>150*7</f>
        <v>1050</v>
      </c>
      <c r="S14" s="4"/>
      <c r="U14" s="46"/>
      <c r="V14" s="4"/>
      <c r="W14" s="4"/>
      <c r="X14" s="4"/>
      <c r="Z14" s="46"/>
      <c r="AA14" s="4"/>
      <c r="AB14" s="4"/>
      <c r="AC14" s="4"/>
      <c r="AE14" s="46"/>
      <c r="AF14" s="4"/>
      <c r="AG14" s="4"/>
      <c r="AH14" s="4"/>
      <c r="AI14" s="19"/>
      <c r="AJ14" s="34" t="s">
        <v>41</v>
      </c>
      <c r="AK14" s="7">
        <f>+BA31</f>
        <v>-1000</v>
      </c>
      <c r="AM14" s="15"/>
      <c r="AN14" s="15">
        <f>N15</f>
        <v>-123</v>
      </c>
      <c r="AO14" s="9">
        <f t="shared" si="13"/>
        <v>106049</v>
      </c>
      <c r="AQ14" s="15"/>
      <c r="AR14" s="15">
        <f>N9</f>
        <v>-275</v>
      </c>
      <c r="AS14" s="9">
        <f t="shared" si="14"/>
        <v>1149.27</v>
      </c>
      <c r="AU14" s="9" t="s">
        <v>15</v>
      </c>
      <c r="AV14" s="9"/>
      <c r="AW14" s="56">
        <f>'Jan Close'!I9</f>
        <v>12000</v>
      </c>
      <c r="AY14" s="41" t="s">
        <v>15</v>
      </c>
      <c r="AZ14" s="9"/>
      <c r="BA14" s="57">
        <f>'Jan Close'!I13</f>
        <v>0</v>
      </c>
      <c r="BC14" s="18" t="s">
        <v>6</v>
      </c>
      <c r="BD14" s="18" t="s">
        <v>7</v>
      </c>
      <c r="BE14" s="53" t="s">
        <v>4</v>
      </c>
      <c r="BG14" s="1" t="s">
        <v>15</v>
      </c>
      <c r="BH14" s="9"/>
      <c r="BI14" s="2">
        <f>'Jan Close'!I21</f>
        <v>0</v>
      </c>
      <c r="BK14" s="15"/>
      <c r="BL14" s="15">
        <f>S24</f>
        <v>-800</v>
      </c>
      <c r="BM14" s="3">
        <f t="shared" si="10"/>
        <v>-7900</v>
      </c>
      <c r="BO14" s="1" t="s">
        <v>15</v>
      </c>
      <c r="BP14" s="2"/>
      <c r="BQ14" s="2">
        <f>'Jan Close'!I30</f>
        <v>0</v>
      </c>
      <c r="BS14" s="1" t="s">
        <v>15</v>
      </c>
      <c r="BT14" s="2"/>
      <c r="BU14" s="2">
        <f>+'Jan Close'!I35</f>
        <v>0</v>
      </c>
      <c r="BW14" s="30" t="s">
        <v>64</v>
      </c>
      <c r="BX14" s="12"/>
      <c r="BY14" s="31">
        <f>+BX12-BX13</f>
        <v>103000</v>
      </c>
      <c r="BZ14" s="12"/>
      <c r="CA14" s="12" t="s">
        <v>35</v>
      </c>
      <c r="CB14" s="12"/>
      <c r="CC14" s="12"/>
      <c r="CE14" s="82"/>
      <c r="CF14" s="83"/>
      <c r="CG14" s="84"/>
      <c r="CH14" s="106"/>
      <c r="CI14" s="103"/>
      <c r="CJ14" s="85"/>
      <c r="CK14" s="84"/>
      <c r="CL14" s="107"/>
      <c r="CM14" s="103"/>
      <c r="CN14" s="86"/>
      <c r="CO14" s="105"/>
      <c r="CP14" s="105"/>
      <c r="CR14" s="73"/>
      <c r="CS14" s="73"/>
      <c r="CT14" s="73"/>
      <c r="CU14" s="74"/>
      <c r="CV14" s="73"/>
      <c r="CW14" s="73"/>
      <c r="CX14" s="73"/>
      <c r="CZ14" s="18" t="s">
        <v>6</v>
      </c>
      <c r="DA14" s="18" t="s">
        <v>7</v>
      </c>
      <c r="DB14" s="18" t="s">
        <v>4</v>
      </c>
      <c r="DD14" s="18" t="s">
        <v>6</v>
      </c>
      <c r="DE14" s="18" t="s">
        <v>7</v>
      </c>
      <c r="DF14" s="18" t="s">
        <v>4</v>
      </c>
      <c r="DH14" s="138" t="s">
        <v>120</v>
      </c>
      <c r="DI14" s="138">
        <v>4583</v>
      </c>
      <c r="DJ14" s="138">
        <f>DI14*0.062</f>
        <v>284.14600000000002</v>
      </c>
      <c r="DK14" s="138">
        <f>DI14*0.0145</f>
        <v>66.453500000000005</v>
      </c>
      <c r="DL14" s="138">
        <v>720</v>
      </c>
      <c r="DM14" s="138">
        <f>DI14-DJ14-DK14-DL14</f>
        <v>3512.4005000000006</v>
      </c>
      <c r="DN14" s="138">
        <f>DJ14</f>
        <v>284.14600000000002</v>
      </c>
      <c r="DO14" s="138">
        <f>DK14</f>
        <v>66.453500000000005</v>
      </c>
      <c r="DQ14" s="154">
        <v>6</v>
      </c>
      <c r="DR14" s="138">
        <f t="shared" si="16"/>
        <v>1358.7288223687872</v>
      </c>
      <c r="DS14" s="138">
        <f t="shared" ref="DS14:DS68" si="17">DU13*$DT$4/12</f>
        <v>277.75857498702618</v>
      </c>
      <c r="DT14" s="138">
        <f t="shared" ref="DT14:DT68" si="18">DR14-DS14</f>
        <v>1080.9702473817611</v>
      </c>
      <c r="DU14" s="138">
        <f t="shared" ref="DU14:DU68" si="19">DU13-DT14</f>
        <v>65581.087749504513</v>
      </c>
      <c r="DW14" s="177">
        <v>42755</v>
      </c>
      <c r="DX14" s="178"/>
      <c r="DY14" s="198">
        <v>20500</v>
      </c>
      <c r="DZ14" s="178"/>
      <c r="EA14" s="179">
        <v>42766</v>
      </c>
      <c r="EB14" s="180">
        <v>1004</v>
      </c>
      <c r="EC14" s="178"/>
      <c r="ED14" s="199">
        <v>400</v>
      </c>
      <c r="EF14" s="15"/>
      <c r="EG14" s="213">
        <f>+'Trial Balance'!AN17</f>
        <v>-598</v>
      </c>
      <c r="EH14" s="9">
        <f t="shared" si="3"/>
        <v>125130</v>
      </c>
      <c r="EJ14" s="29" t="s">
        <v>165</v>
      </c>
      <c r="EK14" s="12">
        <v>-80</v>
      </c>
      <c r="EM14" s="183"/>
      <c r="EN14" s="184"/>
      <c r="EO14" s="178"/>
      <c r="EP14" s="178"/>
      <c r="EQ14" s="179">
        <v>42772</v>
      </c>
      <c r="ER14" s="180">
        <v>1011</v>
      </c>
      <c r="ES14" s="178"/>
      <c r="ET14" s="214">
        <v>3539.33</v>
      </c>
      <c r="EV14" s="15"/>
      <c r="EW14" s="224">
        <v>-598</v>
      </c>
      <c r="EX14" s="9">
        <v>125130</v>
      </c>
      <c r="EZ14" s="15"/>
      <c r="FA14" s="215">
        <v>-614</v>
      </c>
      <c r="FB14" s="9">
        <f t="shared" si="15"/>
        <v>104451</v>
      </c>
      <c r="FC14" s="17"/>
      <c r="FD14" s="233" t="s">
        <v>176</v>
      </c>
      <c r="FE14" s="234">
        <v>-20</v>
      </c>
    </row>
    <row r="15" spans="1:161" ht="16.5" thickBot="1" x14ac:dyDescent="0.3">
      <c r="A15" s="64"/>
      <c r="B15" s="116" t="s">
        <v>55</v>
      </c>
      <c r="C15" s="4"/>
      <c r="D15" s="4">
        <f>-SUM(C13:D14)</f>
        <v>-250</v>
      </c>
      <c r="F15" s="46"/>
      <c r="G15" s="4"/>
      <c r="H15" s="4"/>
      <c r="I15" s="4"/>
      <c r="K15" s="46"/>
      <c r="L15" s="116" t="s">
        <v>39</v>
      </c>
      <c r="M15" s="4"/>
      <c r="N15" s="4">
        <v>-123</v>
      </c>
      <c r="P15" s="46"/>
      <c r="Q15" s="116" t="s">
        <v>46</v>
      </c>
      <c r="R15" s="4"/>
      <c r="S15" s="4">
        <f>-R14</f>
        <v>-1050</v>
      </c>
      <c r="U15" s="46"/>
      <c r="V15" s="4"/>
      <c r="W15" s="4"/>
      <c r="X15" s="4"/>
      <c r="Z15" s="46"/>
      <c r="AA15" s="4"/>
      <c r="AB15" s="4"/>
      <c r="AC15" s="4"/>
      <c r="AE15" s="46"/>
      <c r="AF15" s="4"/>
      <c r="AG15" s="4"/>
      <c r="AH15" s="4"/>
      <c r="AI15" s="19"/>
      <c r="AJ15" s="34" t="s">
        <v>42</v>
      </c>
      <c r="AK15" s="7">
        <f>+BA39</f>
        <v>0</v>
      </c>
      <c r="AM15" s="15"/>
      <c r="AN15" s="15">
        <f>N18</f>
        <v>-1598</v>
      </c>
      <c r="AO15" s="9">
        <f t="shared" si="13"/>
        <v>104451</v>
      </c>
      <c r="AQ15" s="15">
        <f>R5</f>
        <v>950</v>
      </c>
      <c r="AR15" s="15"/>
      <c r="AS15" s="9">
        <f t="shared" si="14"/>
        <v>2099.27</v>
      </c>
      <c r="AU15" s="15"/>
      <c r="AV15" s="15">
        <f>D14</f>
        <v>-12000</v>
      </c>
      <c r="AW15" s="56">
        <f>+AW14+SUM(AU15:AV15)</f>
        <v>0</v>
      </c>
      <c r="AY15" s="15"/>
      <c r="AZ15" s="15">
        <f>D18</f>
        <v>-168</v>
      </c>
      <c r="BA15" s="57">
        <f>+BA14+SUM(AY15:AZ15)</f>
        <v>-168</v>
      </c>
      <c r="BC15" s="41" t="s">
        <v>15</v>
      </c>
      <c r="BD15" s="9"/>
      <c r="BE15" s="57">
        <f>'Jan Close'!I17</f>
        <v>-1598</v>
      </c>
      <c r="BG15" s="15"/>
      <c r="BH15" s="15"/>
      <c r="BI15" s="2">
        <f>+BI14+SUM(BG15:BH15)</f>
        <v>0</v>
      </c>
      <c r="BK15" s="15"/>
      <c r="BL15" s="15">
        <f>S27</f>
        <v>-800</v>
      </c>
      <c r="BM15" s="3">
        <f t="shared" si="10"/>
        <v>-8700</v>
      </c>
      <c r="BO15" s="15"/>
      <c r="BP15" s="15"/>
      <c r="BQ15" s="2">
        <f>+BQ14+SUM(BO15:BP15)</f>
        <v>0</v>
      </c>
      <c r="BS15" s="15">
        <f>W5</f>
        <v>5383</v>
      </c>
      <c r="BT15" s="15"/>
      <c r="BU15" s="2">
        <f>+BU14+SUM(BS15:BT15)</f>
        <v>5383</v>
      </c>
      <c r="BW15" s="12"/>
      <c r="BX15" s="12"/>
      <c r="BY15" s="12"/>
      <c r="BZ15" s="32"/>
      <c r="CA15" s="29" t="str">
        <f>+AJ22</f>
        <v>Owners Equity</v>
      </c>
      <c r="CB15" s="12"/>
      <c r="CC15" s="142">
        <f>-SUM(AK21:AK37)</f>
        <v>150946.6005</v>
      </c>
      <c r="CE15" s="82"/>
      <c r="CF15" s="87"/>
      <c r="CG15" s="88"/>
      <c r="CH15" s="108"/>
      <c r="CI15" s="103"/>
      <c r="CJ15" s="89"/>
      <c r="CK15" s="115"/>
      <c r="CL15" s="109"/>
      <c r="CM15" s="103"/>
      <c r="CN15" s="90"/>
      <c r="CO15" s="110"/>
      <c r="CP15" s="110"/>
      <c r="CR15" s="37" t="s">
        <v>97</v>
      </c>
      <c r="CS15" s="120"/>
      <c r="CT15" s="121"/>
      <c r="CV15" s="130" t="s">
        <v>105</v>
      </c>
      <c r="CW15" s="131"/>
      <c r="CX15" s="132"/>
      <c r="CZ15" s="41" t="s">
        <v>15</v>
      </c>
      <c r="DA15" s="41"/>
      <c r="DB15" s="41">
        <v>0</v>
      </c>
      <c r="DD15" s="41" t="s">
        <v>15</v>
      </c>
      <c r="DE15" s="41"/>
      <c r="DF15" s="41">
        <v>0</v>
      </c>
      <c r="DH15" s="138" t="s">
        <v>123</v>
      </c>
      <c r="DI15" s="139">
        <f>20*40</f>
        <v>800</v>
      </c>
      <c r="DJ15" s="139">
        <f>DI15*0.062</f>
        <v>49.6</v>
      </c>
      <c r="DK15" s="139">
        <f>DI15*0.0145</f>
        <v>11.600000000000001</v>
      </c>
      <c r="DL15" s="139">
        <v>110</v>
      </c>
      <c r="DM15" s="139">
        <f>DI15-SUM(DJ15:DL15)</f>
        <v>628.79999999999995</v>
      </c>
      <c r="DN15" s="139">
        <f>DJ15</f>
        <v>49.6</v>
      </c>
      <c r="DO15" s="139">
        <f>DK15</f>
        <v>11.600000000000001</v>
      </c>
      <c r="DQ15" s="154">
        <v>7</v>
      </c>
      <c r="DR15" s="138">
        <f t="shared" si="16"/>
        <v>1358.7288223687872</v>
      </c>
      <c r="DS15" s="138">
        <f t="shared" si="17"/>
        <v>273.25453228960214</v>
      </c>
      <c r="DT15" s="138">
        <f t="shared" si="18"/>
        <v>1085.474290079185</v>
      </c>
      <c r="DU15" s="138">
        <f t="shared" si="19"/>
        <v>64495.613459425331</v>
      </c>
      <c r="DW15" s="181"/>
      <c r="DX15" s="178"/>
      <c r="DY15" s="182"/>
      <c r="DZ15" s="178"/>
      <c r="EA15" s="179">
        <v>42766</v>
      </c>
      <c r="EB15" s="180">
        <v>1005</v>
      </c>
      <c r="EC15" s="178"/>
      <c r="ED15" s="198">
        <v>598</v>
      </c>
      <c r="EF15" s="225">
        <f>+'Trial Balance'!AM18</f>
        <v>956</v>
      </c>
      <c r="EG15" s="15"/>
      <c r="EH15" s="9">
        <f t="shared" si="3"/>
        <v>126086</v>
      </c>
      <c r="EJ15" s="29" t="s">
        <v>176</v>
      </c>
      <c r="EK15" s="31">
        <v>-15</v>
      </c>
      <c r="EM15" s="183"/>
      <c r="EN15" s="184"/>
      <c r="EO15" s="182"/>
      <c r="EP15" s="178"/>
      <c r="EQ15" s="179">
        <v>42772</v>
      </c>
      <c r="ER15" s="180">
        <v>1012</v>
      </c>
      <c r="ES15" s="178"/>
      <c r="ET15" s="212">
        <v>630</v>
      </c>
      <c r="EV15" s="213">
        <v>956</v>
      </c>
      <c r="EW15" s="15"/>
      <c r="EX15" s="9">
        <v>126086</v>
      </c>
      <c r="EZ15" s="15"/>
      <c r="FA15" s="213">
        <v>-648</v>
      </c>
      <c r="FB15" s="9">
        <f t="shared" si="15"/>
        <v>103803</v>
      </c>
      <c r="FC15" s="17"/>
      <c r="FD15" s="233"/>
      <c r="FE15" s="15"/>
    </row>
    <row r="16" spans="1:161" ht="17.25" thickTop="1" thickBot="1" x14ac:dyDescent="0.3">
      <c r="A16" s="64"/>
      <c r="B16" s="117"/>
      <c r="C16" s="4"/>
      <c r="D16" s="4"/>
      <c r="F16" s="46"/>
      <c r="G16" s="4" t="s">
        <v>47</v>
      </c>
      <c r="H16" s="4">
        <v>480</v>
      </c>
      <c r="I16" s="4"/>
      <c r="K16" s="46"/>
      <c r="L16" s="4"/>
      <c r="M16" s="4"/>
      <c r="N16" s="4"/>
      <c r="P16" s="46"/>
      <c r="Q16" s="4"/>
      <c r="R16" s="4"/>
      <c r="S16" s="4"/>
      <c r="U16" s="46"/>
      <c r="V16" s="4"/>
      <c r="W16" s="4"/>
      <c r="X16" s="4"/>
      <c r="Z16" s="46"/>
      <c r="AA16" s="4"/>
      <c r="AB16" s="4"/>
      <c r="AC16" s="4"/>
      <c r="AE16" s="46"/>
      <c r="AF16" s="4"/>
      <c r="AG16" s="4"/>
      <c r="AH16" s="4"/>
      <c r="AI16" s="19"/>
      <c r="AJ16" s="34" t="s">
        <v>58</v>
      </c>
      <c r="AK16" s="7">
        <f>+BE11</f>
        <v>0</v>
      </c>
      <c r="AM16" s="15"/>
      <c r="AN16" s="15">
        <f>N30</f>
        <v>-1193</v>
      </c>
      <c r="AO16" s="9">
        <f t="shared" si="13"/>
        <v>103258</v>
      </c>
      <c r="AQ16" s="15">
        <f>R8</f>
        <v>950</v>
      </c>
      <c r="AR16" s="15"/>
      <c r="AS16" s="9">
        <f t="shared" si="14"/>
        <v>3049.27</v>
      </c>
      <c r="AU16" s="15"/>
      <c r="AV16" s="15"/>
      <c r="AW16" s="56">
        <f>+AW15+SUM(AU16:AV16)</f>
        <v>0</v>
      </c>
      <c r="AY16" s="15"/>
      <c r="AZ16" s="15">
        <f>+D21</f>
        <v>-1200</v>
      </c>
      <c r="BA16" s="57">
        <f t="shared" ref="BA16:BA25" si="20">+BA15+SUM(AY16:AZ16)</f>
        <v>-1368</v>
      </c>
      <c r="BC16" s="15">
        <f>M17</f>
        <v>1598</v>
      </c>
      <c r="BD16" s="15"/>
      <c r="BE16" s="57">
        <f>+BE15+SUM(BC16:BD16)</f>
        <v>0</v>
      </c>
      <c r="BK16" s="15"/>
      <c r="BL16" s="15">
        <f>S30</f>
        <v>-600</v>
      </c>
      <c r="BM16" s="3">
        <f t="shared" si="10"/>
        <v>-9300</v>
      </c>
      <c r="BO16" s="76"/>
      <c r="BP16" s="76"/>
      <c r="BQ16" s="2">
        <f t="shared" ref="BQ16:BQ17" si="21">+BQ15+SUM(BO16:BP16)</f>
        <v>0</v>
      </c>
      <c r="BS16" s="76">
        <f>W9</f>
        <v>411.79950000000008</v>
      </c>
      <c r="BT16" s="76"/>
      <c r="BU16" s="2">
        <f t="shared" ref="BU16:BU19" si="22">+BU15+SUM(BS16:BT16)</f>
        <v>5794.7995000000001</v>
      </c>
      <c r="BW16" s="12"/>
      <c r="BX16" s="12"/>
      <c r="BY16" s="12"/>
      <c r="BZ16" s="32"/>
      <c r="CA16" s="12"/>
      <c r="CB16" s="12"/>
      <c r="CC16" s="12"/>
      <c r="CH16" s="111"/>
      <c r="CI16" s="111"/>
      <c r="CL16" s="111"/>
      <c r="CM16" s="111"/>
      <c r="CP16" s="111"/>
      <c r="CR16" s="122" t="s">
        <v>6</v>
      </c>
      <c r="CS16" s="123" t="s">
        <v>7</v>
      </c>
      <c r="CT16" s="124" t="s">
        <v>4</v>
      </c>
      <c r="CU16" s="74"/>
      <c r="CV16" s="122" t="s">
        <v>6</v>
      </c>
      <c r="CW16" s="123" t="s">
        <v>7</v>
      </c>
      <c r="CX16" s="124" t="s">
        <v>4</v>
      </c>
      <c r="CZ16" s="12"/>
      <c r="DA16" s="12">
        <f>N21</f>
        <v>-365</v>
      </c>
      <c r="DB16" s="41">
        <f>+DB15+SUM(CZ16:DA16)</f>
        <v>-365</v>
      </c>
      <c r="DD16" s="12"/>
      <c r="DE16" s="12">
        <f>N24</f>
        <v>-180</v>
      </c>
      <c r="DF16" s="41">
        <f>+DF15+SUM(DD16:DE16)</f>
        <v>-180</v>
      </c>
      <c r="DH16" s="138" t="s">
        <v>85</v>
      </c>
      <c r="DI16" s="140">
        <f>SUM(DI14:DI15)</f>
        <v>5383</v>
      </c>
      <c r="DJ16" s="140">
        <f>SUM(DJ14:DJ15)</f>
        <v>333.74600000000004</v>
      </c>
      <c r="DK16" s="140">
        <f>SUM(DK14:DK15)</f>
        <v>78.053500000000014</v>
      </c>
      <c r="DL16" s="140">
        <f>SUM(DL14:DL15)</f>
        <v>830</v>
      </c>
      <c r="DM16" s="140">
        <f t="shared" ref="DM16:DO16" si="23">SUM(DM14:DM15)</f>
        <v>4141.2005000000008</v>
      </c>
      <c r="DN16" s="140">
        <f>SUM(DN14:DN15)</f>
        <v>333.74600000000004</v>
      </c>
      <c r="DO16" s="140">
        <f t="shared" si="23"/>
        <v>78.053500000000014</v>
      </c>
      <c r="DQ16" s="154">
        <v>8</v>
      </c>
      <c r="DR16" s="138">
        <f t="shared" si="16"/>
        <v>1358.7288223687872</v>
      </c>
      <c r="DS16" s="138">
        <f t="shared" si="17"/>
        <v>268.73172274760555</v>
      </c>
      <c r="DT16" s="138">
        <f t="shared" si="18"/>
        <v>1089.9970996211816</v>
      </c>
      <c r="DU16" s="138">
        <f t="shared" si="19"/>
        <v>63405.616359804146</v>
      </c>
      <c r="DW16" s="181"/>
      <c r="DX16" s="178"/>
      <c r="DY16" s="182"/>
      <c r="DZ16" s="178"/>
      <c r="EA16" s="179">
        <v>42766</v>
      </c>
      <c r="EB16" s="180">
        <v>1008</v>
      </c>
      <c r="EC16" s="178"/>
      <c r="ED16" s="198">
        <v>620</v>
      </c>
      <c r="EF16" s="15"/>
      <c r="EG16" s="225">
        <f>+'Trial Balance'!AN19</f>
        <v>-11000</v>
      </c>
      <c r="EH16" s="9">
        <f t="shared" si="3"/>
        <v>115086</v>
      </c>
      <c r="EJ16" s="29"/>
      <c r="EK16" s="12"/>
      <c r="EM16" s="183"/>
      <c r="EN16" s="184"/>
      <c r="EO16" s="182"/>
      <c r="EP16" s="178"/>
      <c r="EQ16" s="179">
        <v>42791</v>
      </c>
      <c r="ER16" s="180">
        <v>1013</v>
      </c>
      <c r="ES16" s="178"/>
      <c r="ET16" s="212">
        <v>1359</v>
      </c>
      <c r="EV16" s="15"/>
      <c r="EW16" s="213">
        <v>-11000</v>
      </c>
      <c r="EX16" s="9">
        <v>115086</v>
      </c>
      <c r="EZ16" s="15"/>
      <c r="FA16" s="215">
        <v>-180</v>
      </c>
      <c r="FB16" s="9">
        <f t="shared" si="15"/>
        <v>103623</v>
      </c>
      <c r="FC16" s="17"/>
      <c r="FD16" s="15" t="s">
        <v>177</v>
      </c>
      <c r="FE16" s="235">
        <f>SUM(FE12:FE15)</f>
        <v>98996</v>
      </c>
    </row>
    <row r="17" spans="1:161" ht="16.5" customHeight="1" thickBot="1" x14ac:dyDescent="0.3">
      <c r="A17" s="64">
        <v>42780</v>
      </c>
      <c r="B17" s="117" t="s">
        <v>40</v>
      </c>
      <c r="C17" s="4">
        <v>168</v>
      </c>
      <c r="D17" s="4"/>
      <c r="F17" s="46"/>
      <c r="G17" s="116" t="s">
        <v>40</v>
      </c>
      <c r="H17" s="4"/>
      <c r="I17" s="4">
        <f>-H16</f>
        <v>-480</v>
      </c>
      <c r="K17" s="46">
        <v>42794</v>
      </c>
      <c r="L17" s="4" t="s">
        <v>59</v>
      </c>
      <c r="M17" s="4">
        <f>-N18</f>
        <v>1598</v>
      </c>
      <c r="N17" s="4"/>
      <c r="P17" s="46">
        <v>42794</v>
      </c>
      <c r="Q17" s="4" t="s">
        <v>1</v>
      </c>
      <c r="R17" s="4">
        <f>150*6</f>
        <v>900</v>
      </c>
      <c r="S17" s="4"/>
      <c r="U17" s="46"/>
      <c r="V17" s="4"/>
      <c r="W17" s="4"/>
      <c r="X17" s="4"/>
      <c r="Z17" s="46"/>
      <c r="AA17" s="4"/>
      <c r="AB17" s="4"/>
      <c r="AC17" s="4"/>
      <c r="AE17" s="46"/>
      <c r="AF17" s="4"/>
      <c r="AG17" s="4"/>
      <c r="AH17" s="4"/>
      <c r="AI17" s="19"/>
      <c r="AJ17" s="34" t="s">
        <v>59</v>
      </c>
      <c r="AK17" s="7">
        <f>+BE20</f>
        <v>-1653.5990000000002</v>
      </c>
      <c r="AM17" s="15"/>
      <c r="AN17" s="15">
        <f>X7</f>
        <v>-4141.2005000000008</v>
      </c>
      <c r="AO17" s="9">
        <f t="shared" si="13"/>
        <v>99116.799499999994</v>
      </c>
      <c r="AQ17" s="15">
        <f>R11</f>
        <v>1900</v>
      </c>
      <c r="AR17" s="15"/>
      <c r="AS17" s="9">
        <f t="shared" si="14"/>
        <v>4949.2700000000004</v>
      </c>
      <c r="AU17" s="15"/>
      <c r="AV17" s="15"/>
      <c r="AW17" s="56">
        <f>+AW16+SUM(AU17:AV17)</f>
        <v>0</v>
      </c>
      <c r="AY17" s="15">
        <f>H29</f>
        <v>168</v>
      </c>
      <c r="AZ17" s="15"/>
      <c r="BA17" s="57">
        <f t="shared" si="20"/>
        <v>-1200</v>
      </c>
      <c r="BC17" s="15"/>
      <c r="BD17" s="15">
        <f>X6</f>
        <v>-1241.7995000000001</v>
      </c>
      <c r="BE17" s="57">
        <f t="shared" ref="BE17:BE20" si="24">+BE16+SUM(BC17:BD17)</f>
        <v>-1241.7995000000001</v>
      </c>
      <c r="BG17" s="59" t="str">
        <f>+AJ22</f>
        <v>Owners Equity</v>
      </c>
      <c r="BH17" s="60"/>
      <c r="BI17" s="61"/>
      <c r="BK17" s="15"/>
      <c r="BL17" s="15"/>
      <c r="BM17" s="3">
        <f t="shared" si="10"/>
        <v>-9300</v>
      </c>
      <c r="BO17" s="15"/>
      <c r="BP17" s="15"/>
      <c r="BQ17" s="2">
        <f t="shared" si="21"/>
        <v>0</v>
      </c>
      <c r="BS17" s="15"/>
      <c r="BT17" s="15"/>
      <c r="BU17" s="2">
        <f t="shared" si="22"/>
        <v>5794.7995000000001</v>
      </c>
      <c r="BW17" s="12" t="s">
        <v>31</v>
      </c>
      <c r="BX17" s="12"/>
      <c r="BY17" s="32">
        <f>SUM(BY10:BY14)</f>
        <v>229778.56949999998</v>
      </c>
      <c r="BZ17" s="32"/>
      <c r="CA17" s="12" t="s">
        <v>68</v>
      </c>
      <c r="CB17" s="12"/>
      <c r="CC17" s="32">
        <f>+SUM(CC13:CC16)</f>
        <v>229778.56949999998</v>
      </c>
      <c r="CE17" s="100" t="s">
        <v>89</v>
      </c>
      <c r="CF17" s="254" t="s">
        <v>81</v>
      </c>
      <c r="CG17" s="255"/>
      <c r="CH17" s="256"/>
      <c r="CI17" s="103"/>
      <c r="CJ17" s="257" t="s">
        <v>82</v>
      </c>
      <c r="CK17" s="258"/>
      <c r="CL17" s="259"/>
      <c r="CM17" s="103"/>
      <c r="CN17" s="260" t="s">
        <v>83</v>
      </c>
      <c r="CO17" s="261"/>
      <c r="CP17" s="262"/>
      <c r="CR17" s="28" t="s">
        <v>15</v>
      </c>
      <c r="CS17" s="28"/>
      <c r="CT17" s="28">
        <v>0</v>
      </c>
      <c r="CV17" s="28" t="s">
        <v>15</v>
      </c>
      <c r="CW17" s="28"/>
      <c r="CX17" s="28">
        <v>0</v>
      </c>
      <c r="CZ17" s="12">
        <v>365</v>
      </c>
      <c r="DA17" s="12"/>
      <c r="DB17" s="41">
        <f>+DB16+SUM(CZ17:DA17)</f>
        <v>0</v>
      </c>
      <c r="DD17" s="12">
        <v>180</v>
      </c>
      <c r="DE17" s="12"/>
      <c r="DF17" s="41">
        <f>+DF16+SUM(DD17:DE17)</f>
        <v>0</v>
      </c>
      <c r="DQ17" s="154">
        <v>9</v>
      </c>
      <c r="DR17" s="138">
        <f t="shared" si="16"/>
        <v>1358.7288223687872</v>
      </c>
      <c r="DS17" s="138">
        <f t="shared" si="17"/>
        <v>264.19006816585062</v>
      </c>
      <c r="DT17" s="138">
        <f t="shared" si="18"/>
        <v>1094.5387542029366</v>
      </c>
      <c r="DU17" s="138">
        <f t="shared" si="19"/>
        <v>62311.077605601211</v>
      </c>
      <c r="DW17" s="181"/>
      <c r="DX17" s="178"/>
      <c r="DY17" s="182"/>
      <c r="DZ17" s="178"/>
      <c r="EA17" s="179">
        <v>42766</v>
      </c>
      <c r="EB17" s="180">
        <v>1010</v>
      </c>
      <c r="EC17" s="178"/>
      <c r="ED17" s="198">
        <v>15000</v>
      </c>
      <c r="EF17" s="15"/>
      <c r="EG17" s="225">
        <f>+'Trial Balance'!AN20</f>
        <v>-500</v>
      </c>
      <c r="EH17" s="9">
        <f t="shared" si="3"/>
        <v>114586</v>
      </c>
      <c r="EJ17" s="12" t="s">
        <v>177</v>
      </c>
      <c r="EK17" s="32">
        <f>SUM(EK13:EK16)</f>
        <v>94342</v>
      </c>
      <c r="EM17" s="183"/>
      <c r="EN17" s="184"/>
      <c r="EO17" s="182"/>
      <c r="EP17" s="178"/>
      <c r="EQ17" s="179">
        <v>42791</v>
      </c>
      <c r="ER17" s="180">
        <v>1015</v>
      </c>
      <c r="ES17" s="178"/>
      <c r="ET17" s="212">
        <v>168</v>
      </c>
      <c r="EV17" s="15"/>
      <c r="EW17" s="213">
        <v>-500</v>
      </c>
      <c r="EX17" s="9">
        <v>114586</v>
      </c>
      <c r="EZ17" s="15"/>
      <c r="FA17" s="215">
        <v>-365</v>
      </c>
      <c r="FB17" s="9">
        <f t="shared" si="15"/>
        <v>103258</v>
      </c>
      <c r="FC17" s="17"/>
      <c r="FD17" s="17"/>
      <c r="FE17" s="17"/>
    </row>
    <row r="18" spans="1:161" ht="16.5" thickBot="1" x14ac:dyDescent="0.3">
      <c r="A18" s="64"/>
      <c r="B18" s="116" t="s">
        <v>2</v>
      </c>
      <c r="C18" s="4"/>
      <c r="D18" s="4">
        <f>-C17</f>
        <v>-168</v>
      </c>
      <c r="F18" s="46"/>
      <c r="G18" s="4"/>
      <c r="H18" s="4"/>
      <c r="I18" s="4"/>
      <c r="K18" s="46"/>
      <c r="L18" s="116" t="s">
        <v>39</v>
      </c>
      <c r="M18" s="4"/>
      <c r="N18" s="4">
        <v>-1598</v>
      </c>
      <c r="P18" s="46"/>
      <c r="Q18" s="116" t="s">
        <v>46</v>
      </c>
      <c r="R18" s="4"/>
      <c r="S18" s="4">
        <f>-R17</f>
        <v>-900</v>
      </c>
      <c r="U18" s="46"/>
      <c r="V18" s="4"/>
      <c r="W18" s="4"/>
      <c r="X18" s="4"/>
      <c r="Z18" s="46"/>
      <c r="AA18" s="4"/>
      <c r="AB18" s="4"/>
      <c r="AC18" s="4"/>
      <c r="AE18" s="46"/>
      <c r="AF18" s="4"/>
      <c r="AG18" s="4"/>
      <c r="AH18" s="4"/>
      <c r="AI18" s="19"/>
      <c r="AJ18" s="34" t="s">
        <v>61</v>
      </c>
      <c r="AK18" s="7">
        <f>+BE31</f>
        <v>-100.37</v>
      </c>
      <c r="AM18" s="15"/>
      <c r="AN18" s="15"/>
      <c r="AO18" s="9">
        <f t="shared" si="13"/>
        <v>99116.799499999994</v>
      </c>
      <c r="AQ18" s="15">
        <f>R14</f>
        <v>1050</v>
      </c>
      <c r="AR18" s="15"/>
      <c r="AS18" s="9">
        <f t="shared" si="14"/>
        <v>5999.27</v>
      </c>
      <c r="AY18" s="15"/>
      <c r="AZ18" s="15">
        <f>N21</f>
        <v>-365</v>
      </c>
      <c r="BA18" s="57">
        <f t="shared" si="20"/>
        <v>-1565</v>
      </c>
      <c r="BC18" s="15"/>
      <c r="BD18" s="15">
        <f>X10</f>
        <v>-411.79950000000008</v>
      </c>
      <c r="BE18" s="57">
        <f t="shared" si="24"/>
        <v>-1653.5990000000002</v>
      </c>
      <c r="BG18" s="54" t="s">
        <v>6</v>
      </c>
      <c r="BH18" s="54" t="s">
        <v>7</v>
      </c>
      <c r="BI18" s="55" t="s">
        <v>4</v>
      </c>
      <c r="BK18" s="16"/>
      <c r="BL18" s="16"/>
      <c r="BM18" s="16"/>
      <c r="BO18" s="22"/>
      <c r="BP18" s="22"/>
      <c r="BQ18" s="22"/>
      <c r="BS18" s="15"/>
      <c r="BT18" s="15"/>
      <c r="BU18" s="2">
        <f t="shared" si="22"/>
        <v>5794.7995000000001</v>
      </c>
      <c r="CE18" s="92"/>
      <c r="CF18" s="95"/>
      <c r="CG18" s="95" t="s">
        <v>84</v>
      </c>
      <c r="CH18" s="112" t="s">
        <v>85</v>
      </c>
      <c r="CI18" s="103"/>
      <c r="CJ18" s="95"/>
      <c r="CK18" s="95" t="s">
        <v>84</v>
      </c>
      <c r="CL18" s="112" t="s">
        <v>85</v>
      </c>
      <c r="CM18" s="103"/>
      <c r="CN18" s="95"/>
      <c r="CO18" s="112" t="s">
        <v>84</v>
      </c>
      <c r="CP18" s="112" t="s">
        <v>85</v>
      </c>
      <c r="CR18" s="65">
        <v>8000</v>
      </c>
      <c r="CS18" s="65"/>
      <c r="CT18" s="28">
        <f>+CT17+SUM(CR18:CS18)</f>
        <v>8000</v>
      </c>
      <c r="CV18" s="65"/>
      <c r="CW18" s="65"/>
      <c r="CX18" s="28">
        <f>+CX17+SUM(CV18:CW18)</f>
        <v>0</v>
      </c>
      <c r="DQ18" s="154">
        <v>10</v>
      </c>
      <c r="DR18" s="138">
        <f t="shared" si="16"/>
        <v>1358.7288223687872</v>
      </c>
      <c r="DS18" s="138">
        <f t="shared" si="17"/>
        <v>259.62949002333841</v>
      </c>
      <c r="DT18" s="138">
        <f t="shared" si="18"/>
        <v>1099.0993323454488</v>
      </c>
      <c r="DU18" s="138">
        <f t="shared" si="19"/>
        <v>61211.978273255765</v>
      </c>
      <c r="DW18" s="183"/>
      <c r="DX18" s="184"/>
      <c r="DY18" s="178"/>
      <c r="DZ18" s="178"/>
      <c r="EA18" s="220"/>
      <c r="EB18" s="221"/>
      <c r="EC18" s="178"/>
      <c r="ED18" s="222"/>
      <c r="EF18" s="15"/>
      <c r="EG18" s="213">
        <f>+'Trial Balance'!AN21</f>
        <v>-620</v>
      </c>
      <c r="EH18" s="9">
        <f t="shared" si="3"/>
        <v>113966</v>
      </c>
      <c r="EM18" s="183"/>
      <c r="EN18" s="184"/>
      <c r="EO18" s="182"/>
      <c r="EP18" s="178"/>
      <c r="EQ18" s="179">
        <v>42794</v>
      </c>
      <c r="ER18" s="180">
        <v>1014</v>
      </c>
      <c r="ES18" s="178"/>
      <c r="ET18" s="212">
        <v>1359</v>
      </c>
      <c r="EV18" s="15"/>
      <c r="EW18" s="224">
        <v>-620</v>
      </c>
      <c r="EX18" s="9">
        <v>113966</v>
      </c>
      <c r="EZ18" s="15"/>
      <c r="FA18" s="213">
        <v>-3513</v>
      </c>
      <c r="FB18" s="9">
        <f t="shared" si="15"/>
        <v>99745</v>
      </c>
      <c r="FC18" s="17"/>
      <c r="FD18" s="17"/>
      <c r="FE18" s="17"/>
    </row>
    <row r="19" spans="1:161" ht="16.149999999999999" customHeight="1" thickBot="1" x14ac:dyDescent="0.35">
      <c r="A19" s="64"/>
      <c r="B19" s="117"/>
      <c r="C19" s="4"/>
      <c r="D19" s="4"/>
      <c r="F19" s="46">
        <v>42786</v>
      </c>
      <c r="G19" s="4" t="s">
        <v>1</v>
      </c>
      <c r="H19" s="4">
        <f>400*1.05</f>
        <v>420</v>
      </c>
      <c r="I19" s="4"/>
      <c r="K19" s="46"/>
      <c r="L19" s="4"/>
      <c r="M19" s="4"/>
      <c r="N19" s="4"/>
      <c r="P19" s="46"/>
      <c r="Q19" s="4"/>
      <c r="R19" s="4"/>
      <c r="S19" s="4"/>
      <c r="U19" s="46"/>
      <c r="V19" s="4"/>
      <c r="W19" s="4"/>
      <c r="X19" s="4"/>
      <c r="Z19" s="46"/>
      <c r="AA19" s="4"/>
      <c r="AB19" s="4"/>
      <c r="AC19" s="4"/>
      <c r="AE19" s="46"/>
      <c r="AF19" s="4"/>
      <c r="AG19" s="4"/>
      <c r="AH19" s="4"/>
      <c r="AI19" s="19"/>
      <c r="AJ19" s="34" t="s">
        <v>32</v>
      </c>
      <c r="AK19" s="7">
        <f>+BE37</f>
        <v>0</v>
      </c>
      <c r="AM19" s="15"/>
      <c r="AN19" s="15"/>
      <c r="AO19" s="9">
        <f t="shared" si="13"/>
        <v>99116.799499999994</v>
      </c>
      <c r="AQ19" s="15">
        <f>R17</f>
        <v>900</v>
      </c>
      <c r="AR19" s="15"/>
      <c r="AS19" s="9">
        <f t="shared" si="14"/>
        <v>6899.27</v>
      </c>
      <c r="AU19" s="37" t="str">
        <f>+AJ10</f>
        <v>Undeposited Funds</v>
      </c>
      <c r="AV19" s="37"/>
      <c r="AW19" s="40"/>
      <c r="AY19" s="15"/>
      <c r="AZ19" s="15">
        <f>N24</f>
        <v>-180</v>
      </c>
      <c r="BA19" s="57">
        <f t="shared" si="20"/>
        <v>-1745</v>
      </c>
      <c r="BC19" s="15"/>
      <c r="BD19" s="15"/>
      <c r="BE19" s="57">
        <f t="shared" si="24"/>
        <v>-1653.5990000000002</v>
      </c>
      <c r="BG19" s="1" t="s">
        <v>15</v>
      </c>
      <c r="BH19" s="9"/>
      <c r="BI19" s="2">
        <f>'Jan Close'!I22</f>
        <v>-144080</v>
      </c>
      <c r="BK19" s="48" t="str">
        <f>+AJ26</f>
        <v>Cost of Goods Sold</v>
      </c>
      <c r="BL19" s="49"/>
      <c r="BM19" s="50"/>
      <c r="BO19" s="48" t="str">
        <f>+AJ30</f>
        <v>Interest Expense</v>
      </c>
      <c r="BP19" s="49"/>
      <c r="BQ19" s="50"/>
      <c r="BS19" s="15"/>
      <c r="BT19" s="15"/>
      <c r="BU19" s="2">
        <f t="shared" si="22"/>
        <v>5794.7995000000001</v>
      </c>
      <c r="BW19" s="80" t="s">
        <v>22</v>
      </c>
      <c r="BX19" s="80"/>
      <c r="BY19" s="80"/>
      <c r="CE19" s="93" t="s">
        <v>27</v>
      </c>
      <c r="CF19" s="96" t="s">
        <v>86</v>
      </c>
      <c r="CG19" s="96" t="s">
        <v>87</v>
      </c>
      <c r="CH19" s="113" t="s">
        <v>87</v>
      </c>
      <c r="CI19" s="103"/>
      <c r="CJ19" s="96" t="s">
        <v>86</v>
      </c>
      <c r="CK19" s="96" t="s">
        <v>87</v>
      </c>
      <c r="CL19" s="113" t="s">
        <v>87</v>
      </c>
      <c r="CM19" s="103"/>
      <c r="CN19" s="96" t="s">
        <v>86</v>
      </c>
      <c r="CO19" s="113" t="s">
        <v>87</v>
      </c>
      <c r="CP19" s="113" t="s">
        <v>87</v>
      </c>
      <c r="CR19" s="65"/>
      <c r="CS19" s="65">
        <v>-8000</v>
      </c>
      <c r="CT19" s="28">
        <f>+CT18+SUM(CR19:CS19)</f>
        <v>0</v>
      </c>
      <c r="CV19" s="65"/>
      <c r="CW19" s="65"/>
      <c r="CX19" s="28">
        <f>+CX18+SUM(CV19:CW19)</f>
        <v>0</v>
      </c>
      <c r="CZ19" s="38" t="s">
        <v>145</v>
      </c>
      <c r="DA19" s="126"/>
      <c r="DB19" s="127"/>
      <c r="DQ19" s="154">
        <v>11</v>
      </c>
      <c r="DR19" s="138">
        <f t="shared" si="16"/>
        <v>1358.7288223687872</v>
      </c>
      <c r="DS19" s="138">
        <f t="shared" si="17"/>
        <v>255.04990947189904</v>
      </c>
      <c r="DT19" s="138">
        <f t="shared" si="18"/>
        <v>1103.6789128968881</v>
      </c>
      <c r="DU19" s="138">
        <f t="shared" si="19"/>
        <v>60108.299360358877</v>
      </c>
      <c r="DW19" s="183"/>
      <c r="DX19" s="184"/>
      <c r="DY19" s="178"/>
      <c r="DZ19" s="178"/>
      <c r="EA19" s="179" t="s">
        <v>165</v>
      </c>
      <c r="EB19" s="180"/>
      <c r="EC19" s="178"/>
      <c r="ED19" s="199">
        <v>80</v>
      </c>
      <c r="EF19" s="15"/>
      <c r="EG19" s="225">
        <f>+'Trial Balance'!AN22</f>
        <v>-360</v>
      </c>
      <c r="EH19" s="9">
        <f t="shared" si="3"/>
        <v>113606</v>
      </c>
      <c r="EM19" s="183"/>
      <c r="EN19" s="184"/>
      <c r="EO19" s="182"/>
      <c r="EP19" s="178"/>
      <c r="EQ19" s="179">
        <v>42794</v>
      </c>
      <c r="ER19" s="180">
        <v>1016</v>
      </c>
      <c r="ES19" s="228"/>
      <c r="ET19" s="212">
        <v>123.37</v>
      </c>
      <c r="EV19" s="15"/>
      <c r="EW19" s="213">
        <v>-360</v>
      </c>
      <c r="EX19" s="9">
        <v>113606</v>
      </c>
      <c r="EZ19" s="15"/>
      <c r="FA19" s="215">
        <v>-629</v>
      </c>
      <c r="FB19" s="9">
        <f t="shared" si="15"/>
        <v>99116</v>
      </c>
      <c r="FC19" s="17"/>
      <c r="FD19" s="17"/>
      <c r="FE19" s="17"/>
    </row>
    <row r="20" spans="1:161" ht="16.5" thickBot="1" x14ac:dyDescent="0.3">
      <c r="A20" s="64">
        <v>42780</v>
      </c>
      <c r="B20" s="117" t="s">
        <v>40</v>
      </c>
      <c r="C20" s="4">
        <v>1200</v>
      </c>
      <c r="D20" s="4"/>
      <c r="F20" s="46"/>
      <c r="G20" s="116" t="s">
        <v>45</v>
      </c>
      <c r="H20" s="4"/>
      <c r="I20" s="4">
        <v>-400</v>
      </c>
      <c r="K20" s="46">
        <v>42794</v>
      </c>
      <c r="L20" s="4" t="s">
        <v>53</v>
      </c>
      <c r="M20" s="4">
        <v>365</v>
      </c>
      <c r="N20" s="4"/>
      <c r="P20" s="46">
        <v>42794</v>
      </c>
      <c r="Q20" s="4" t="s">
        <v>1</v>
      </c>
      <c r="R20" s="4">
        <f>150*9</f>
        <v>1350</v>
      </c>
      <c r="S20" s="4"/>
      <c r="U20" s="46"/>
      <c r="V20" s="4"/>
      <c r="W20" s="4"/>
      <c r="X20" s="4"/>
      <c r="Z20" s="46"/>
      <c r="AA20" s="4"/>
      <c r="AB20" s="4"/>
      <c r="AC20" s="4"/>
      <c r="AE20" s="46"/>
      <c r="AF20" s="4"/>
      <c r="AG20" s="4"/>
      <c r="AH20" s="4"/>
      <c r="AI20" s="19"/>
      <c r="AJ20" s="34" t="s">
        <v>56</v>
      </c>
      <c r="AK20" s="7">
        <f>+BI10</f>
        <v>-74878</v>
      </c>
      <c r="AM20" s="15"/>
      <c r="AN20" s="15"/>
      <c r="AO20" s="9">
        <f t="shared" si="13"/>
        <v>99116.799499999994</v>
      </c>
      <c r="AQ20" s="15">
        <f>R20</f>
        <v>1350</v>
      </c>
      <c r="AR20" s="15"/>
      <c r="AS20" s="9">
        <f t="shared" si="14"/>
        <v>8249.27</v>
      </c>
      <c r="AU20" s="18" t="s">
        <v>6</v>
      </c>
      <c r="AV20" s="18" t="s">
        <v>7</v>
      </c>
      <c r="AW20" s="53" t="s">
        <v>4</v>
      </c>
      <c r="AY20" s="15"/>
      <c r="AZ20" s="15">
        <f>N27</f>
        <v>-648</v>
      </c>
      <c r="BA20" s="57">
        <f t="shared" si="20"/>
        <v>-2393</v>
      </c>
      <c r="BC20" s="15"/>
      <c r="BD20" s="15"/>
      <c r="BE20" s="57">
        <f t="shared" si="24"/>
        <v>-1653.5990000000002</v>
      </c>
      <c r="BG20" s="15"/>
      <c r="BH20" s="15"/>
      <c r="BI20" s="2">
        <f>+BI19+SUM(BG20:BH20)</f>
        <v>-144080</v>
      </c>
      <c r="BK20" s="54" t="s">
        <v>6</v>
      </c>
      <c r="BL20" s="54" t="s">
        <v>7</v>
      </c>
      <c r="BM20" s="55" t="s">
        <v>4</v>
      </c>
      <c r="BO20" s="54" t="s">
        <v>6</v>
      </c>
      <c r="BP20" s="54" t="s">
        <v>7</v>
      </c>
      <c r="BQ20" s="55" t="s">
        <v>4</v>
      </c>
      <c r="BS20" s="16"/>
      <c r="BT20" s="16"/>
      <c r="BU20" s="16"/>
      <c r="BW20" s="12" t="s">
        <v>34</v>
      </c>
      <c r="BX20" s="12"/>
      <c r="BY20" s="12"/>
      <c r="CE20" s="91">
        <v>42736</v>
      </c>
      <c r="CF20" s="94"/>
      <c r="CG20" s="97"/>
      <c r="CH20" s="102"/>
      <c r="CI20" s="103"/>
      <c r="CJ20" s="98"/>
      <c r="CK20" s="97"/>
      <c r="CL20" s="104"/>
      <c r="CM20" s="103">
        <v>1</v>
      </c>
      <c r="CN20" s="99">
        <v>1</v>
      </c>
      <c r="CO20" s="101">
        <v>480</v>
      </c>
      <c r="CP20" s="101">
        <f>CN20*CO20</f>
        <v>480</v>
      </c>
      <c r="CR20" s="65">
        <f>H19</f>
        <v>420</v>
      </c>
      <c r="CS20" s="65"/>
      <c r="CT20" s="28">
        <f>+CT19+SUM(CR20:CS20)</f>
        <v>420</v>
      </c>
      <c r="CV20" s="65"/>
      <c r="CW20" s="65"/>
      <c r="CX20" s="28">
        <f t="shared" ref="CX20:CX21" si="25">+CX19+SUM(CV20:CW20)</f>
        <v>0</v>
      </c>
      <c r="CZ20" s="18" t="s">
        <v>6</v>
      </c>
      <c r="DA20" s="18" t="s">
        <v>7</v>
      </c>
      <c r="DB20" s="18" t="s">
        <v>4</v>
      </c>
      <c r="DQ20" s="154">
        <v>12</v>
      </c>
      <c r="DR20" s="138">
        <f t="shared" si="16"/>
        <v>1358.7288223687872</v>
      </c>
      <c r="DS20" s="138">
        <f t="shared" si="17"/>
        <v>250.45124733482865</v>
      </c>
      <c r="DT20" s="138">
        <f t="shared" si="18"/>
        <v>1108.2775750339586</v>
      </c>
      <c r="DU20" s="138">
        <f t="shared" si="19"/>
        <v>59000.02178532492</v>
      </c>
      <c r="DW20" s="183"/>
      <c r="DX20" s="184"/>
      <c r="DY20" s="178"/>
      <c r="DZ20" s="178"/>
      <c r="EA20" s="179" t="s">
        <v>166</v>
      </c>
      <c r="EB20" s="180"/>
      <c r="EC20" s="178"/>
      <c r="ED20" s="199">
        <v>15</v>
      </c>
      <c r="EF20" s="15"/>
      <c r="EG20" s="213">
        <f>+'Trial Balance'!AN23</f>
        <v>-15000</v>
      </c>
      <c r="EH20" s="9">
        <f t="shared" si="3"/>
        <v>98606</v>
      </c>
      <c r="EM20" s="183"/>
      <c r="EN20" s="184"/>
      <c r="EO20" s="182"/>
      <c r="EP20" s="178"/>
      <c r="EQ20" s="179">
        <v>42794</v>
      </c>
      <c r="ER20" s="180">
        <v>1017</v>
      </c>
      <c r="ES20" s="178"/>
      <c r="ET20" s="212">
        <v>830</v>
      </c>
      <c r="EV20" s="15"/>
      <c r="EW20" s="224">
        <v>-15000</v>
      </c>
      <c r="EX20" s="9">
        <v>98606</v>
      </c>
      <c r="FC20" s="17"/>
      <c r="FD20" s="17"/>
      <c r="FE20" s="17"/>
    </row>
    <row r="21" spans="1:161" ht="16.5" thickBot="1" x14ac:dyDescent="0.3">
      <c r="A21" s="64"/>
      <c r="B21" s="116" t="s">
        <v>2</v>
      </c>
      <c r="C21" s="4"/>
      <c r="D21" s="4">
        <f>-C20</f>
        <v>-1200</v>
      </c>
      <c r="F21" s="46"/>
      <c r="G21" s="116" t="s">
        <v>61</v>
      </c>
      <c r="H21" s="4"/>
      <c r="I21" s="4">
        <f>-SUM(H19:I20)</f>
        <v>-20</v>
      </c>
      <c r="K21" s="46"/>
      <c r="L21" s="116" t="s">
        <v>2</v>
      </c>
      <c r="M21" s="4"/>
      <c r="N21" s="4">
        <f>-M20</f>
        <v>-365</v>
      </c>
      <c r="P21" s="46"/>
      <c r="Q21" s="116" t="s">
        <v>46</v>
      </c>
      <c r="R21" s="4"/>
      <c r="S21" s="4">
        <f>-R20</f>
        <v>-1350</v>
      </c>
      <c r="U21" s="46"/>
      <c r="V21" s="4"/>
      <c r="W21" s="4"/>
      <c r="X21" s="4"/>
      <c r="Z21" s="46"/>
      <c r="AA21" s="4"/>
      <c r="AB21" s="4"/>
      <c r="AC21" s="4"/>
      <c r="AE21" s="46"/>
      <c r="AF21" s="4"/>
      <c r="AG21" s="4"/>
      <c r="AH21" s="4"/>
      <c r="AI21" s="19"/>
      <c r="AJ21" s="35" t="s">
        <v>43</v>
      </c>
      <c r="AK21" s="8">
        <f>+BI15</f>
        <v>0</v>
      </c>
      <c r="AM21" s="15"/>
      <c r="AN21" s="15"/>
      <c r="AO21" s="9">
        <f t="shared" si="13"/>
        <v>99116.799499999994</v>
      </c>
      <c r="AQ21" s="15">
        <f>R23</f>
        <v>800</v>
      </c>
      <c r="AR21" s="15"/>
      <c r="AS21" s="9">
        <f t="shared" si="14"/>
        <v>9049.27</v>
      </c>
      <c r="AU21" s="9" t="s">
        <v>15</v>
      </c>
      <c r="AV21" s="9"/>
      <c r="AW21" s="56">
        <f>'Jan Close'!I10</f>
        <v>299.5</v>
      </c>
      <c r="AY21" s="15">
        <f>M29</f>
        <v>1193</v>
      </c>
      <c r="AZ21" s="15"/>
      <c r="BA21" s="57">
        <f t="shared" si="20"/>
        <v>-1200</v>
      </c>
      <c r="BC21" s="16"/>
      <c r="BD21" s="16"/>
      <c r="BE21" s="16"/>
      <c r="BG21" s="15"/>
      <c r="BH21" s="15"/>
      <c r="BI21" s="2">
        <f>+BI20+SUM(BG21:BH21)</f>
        <v>-144080</v>
      </c>
      <c r="BK21" s="1" t="s">
        <v>15</v>
      </c>
      <c r="BL21" s="2"/>
      <c r="BM21" s="2">
        <f>'Jan Close'!I27</f>
        <v>0</v>
      </c>
      <c r="BO21" s="1" t="s">
        <v>15</v>
      </c>
      <c r="BP21" s="2"/>
      <c r="BQ21" s="2">
        <f>+'Jan Close'!I31</f>
        <v>0</v>
      </c>
      <c r="BS21" s="48" t="str">
        <f>+AJ35</f>
        <v>Telephone Expense</v>
      </c>
      <c r="BT21" s="49"/>
      <c r="BU21" s="50"/>
      <c r="BW21" s="29" t="str">
        <f>+AJ23</f>
        <v>Merchandise Sales</v>
      </c>
      <c r="BX21" s="12">
        <f>-AK23</f>
        <v>2000.4</v>
      </c>
      <c r="BY21" s="12"/>
      <c r="CE21" s="82">
        <v>42785</v>
      </c>
      <c r="CF21" s="83"/>
      <c r="CG21" s="84"/>
      <c r="CH21" s="106"/>
      <c r="CI21" s="103"/>
      <c r="CJ21" s="85">
        <v>1</v>
      </c>
      <c r="CK21" s="84">
        <f>CO20</f>
        <v>480</v>
      </c>
      <c r="CL21" s="107">
        <f>CJ21*CK21</f>
        <v>480</v>
      </c>
      <c r="CM21" s="103"/>
      <c r="CN21" s="86">
        <f>CN20-CJ21</f>
        <v>0</v>
      </c>
      <c r="CO21" s="105">
        <f>CO20</f>
        <v>480</v>
      </c>
      <c r="CP21" s="105">
        <f>CN21*CO21</f>
        <v>0</v>
      </c>
      <c r="CV21" s="65"/>
      <c r="CW21" s="65"/>
      <c r="CX21" s="28">
        <f t="shared" si="25"/>
        <v>0</v>
      </c>
      <c r="CZ21" s="41" t="s">
        <v>15</v>
      </c>
      <c r="DA21" s="41"/>
      <c r="DB21" s="41">
        <v>0</v>
      </c>
      <c r="DQ21" s="154">
        <v>13</v>
      </c>
      <c r="DR21" s="138">
        <f t="shared" si="16"/>
        <v>1358.7288223687872</v>
      </c>
      <c r="DS21" s="138">
        <f t="shared" si="17"/>
        <v>245.83342410552052</v>
      </c>
      <c r="DT21" s="138">
        <f t="shared" si="18"/>
        <v>1112.8953982632665</v>
      </c>
      <c r="DU21" s="138">
        <f t="shared" si="19"/>
        <v>57887.126387061653</v>
      </c>
      <c r="DW21" s="190"/>
      <c r="DX21" s="191"/>
      <c r="DY21" s="191"/>
      <c r="DZ21" s="191"/>
      <c r="EA21" s="191"/>
      <c r="EB21" s="191"/>
      <c r="EC21" s="191"/>
      <c r="ED21" s="192"/>
      <c r="EF21" s="15"/>
      <c r="EG21" s="225">
        <f>+'Trial Balance'!AN24</f>
        <v>-3539</v>
      </c>
      <c r="EH21" s="9">
        <f t="shared" si="3"/>
        <v>95067</v>
      </c>
      <c r="EM21" s="183"/>
      <c r="EN21" s="184"/>
      <c r="EO21" s="182"/>
      <c r="EP21" s="178"/>
      <c r="EQ21" s="179">
        <v>42794</v>
      </c>
      <c r="ER21" s="180">
        <v>1020</v>
      </c>
      <c r="ES21" s="178"/>
      <c r="ET21" s="212">
        <v>648</v>
      </c>
      <c r="EV21" s="15"/>
      <c r="EW21" s="213">
        <v>-3539</v>
      </c>
      <c r="EX21" s="9">
        <v>95067</v>
      </c>
      <c r="FC21" s="17"/>
      <c r="FD21" s="17"/>
      <c r="FE21" s="17"/>
    </row>
    <row r="22" spans="1:161" ht="16.5" thickBot="1" x14ac:dyDescent="0.3">
      <c r="A22" s="64"/>
      <c r="B22" s="117"/>
      <c r="C22" s="4"/>
      <c r="D22" s="4"/>
      <c r="F22" s="46"/>
      <c r="G22" s="4"/>
      <c r="H22" s="4"/>
      <c r="I22" s="4"/>
      <c r="K22" s="46"/>
      <c r="L22" s="4"/>
      <c r="M22" s="4"/>
      <c r="N22" s="4"/>
      <c r="P22" s="46"/>
      <c r="Q22" s="4"/>
      <c r="R22" s="4"/>
      <c r="S22" s="4"/>
      <c r="U22" s="46"/>
      <c r="V22" s="4"/>
      <c r="W22" s="4"/>
      <c r="X22" s="4"/>
      <c r="Z22" s="46"/>
      <c r="AA22" s="4"/>
      <c r="AB22" s="4"/>
      <c r="AC22" s="4"/>
      <c r="AE22" s="46"/>
      <c r="AF22" s="4"/>
      <c r="AG22" s="4"/>
      <c r="AH22" s="4"/>
      <c r="AI22" s="19"/>
      <c r="AJ22" s="35" t="s">
        <v>44</v>
      </c>
      <c r="AK22" s="8">
        <f>+BI24</f>
        <v>-144080</v>
      </c>
      <c r="AM22" s="15"/>
      <c r="AN22" s="15"/>
      <c r="AO22" s="9">
        <f t="shared" si="13"/>
        <v>99116.799499999994</v>
      </c>
      <c r="AQ22" s="15">
        <f>R26</f>
        <v>800</v>
      </c>
      <c r="AR22" s="15"/>
      <c r="AS22" s="9">
        <f t="shared" si="14"/>
        <v>9849.27</v>
      </c>
      <c r="AU22" s="15">
        <f>C23</f>
        <v>525</v>
      </c>
      <c r="AV22" s="15"/>
      <c r="AW22" s="56">
        <f>+AW21+SUM(AU22:AV22)</f>
        <v>824.5</v>
      </c>
      <c r="AY22" s="15"/>
      <c r="AZ22" s="15"/>
      <c r="BA22" s="57">
        <f t="shared" si="20"/>
        <v>-1200</v>
      </c>
      <c r="BC22" s="38" t="str">
        <f>+AJ18</f>
        <v>Sales Tax Payable</v>
      </c>
      <c r="BD22" s="38"/>
      <c r="BE22" s="39"/>
      <c r="BG22" s="15"/>
      <c r="BH22" s="15"/>
      <c r="BI22" s="2">
        <f>+BI21+SUM(BG22:BH22)</f>
        <v>-144080</v>
      </c>
      <c r="BK22" s="15">
        <f>C27</f>
        <v>400</v>
      </c>
      <c r="BL22" s="15"/>
      <c r="BM22" s="2">
        <f>+BM21+SUM(BK22:BL22)</f>
        <v>400</v>
      </c>
      <c r="BO22" s="15">
        <f>C6</f>
        <v>300</v>
      </c>
      <c r="BP22" s="15"/>
      <c r="BQ22" s="2">
        <f>+BQ21+SUM(BO22:BP22)</f>
        <v>300</v>
      </c>
      <c r="BS22" s="54" t="s">
        <v>6</v>
      </c>
      <c r="BT22" s="54" t="s">
        <v>7</v>
      </c>
      <c r="BU22" s="55" t="s">
        <v>4</v>
      </c>
      <c r="BW22" s="29" t="str">
        <f>+AJ24</f>
        <v>Rent Music Equipment</v>
      </c>
      <c r="BX22" s="12">
        <f>-AK24</f>
        <v>4500</v>
      </c>
      <c r="BY22" s="12"/>
      <c r="BZ22" s="20"/>
      <c r="CA22" s="20"/>
      <c r="CB22" s="20"/>
      <c r="CC22" s="20"/>
      <c r="CD22" s="20"/>
      <c r="CE22" s="82"/>
      <c r="CF22" s="83"/>
      <c r="CG22" s="84"/>
      <c r="CH22" s="106"/>
      <c r="CI22" s="103"/>
      <c r="CJ22" s="85"/>
      <c r="CK22" s="84"/>
      <c r="CL22" s="107"/>
      <c r="CM22" s="103"/>
      <c r="CN22" s="86"/>
      <c r="CO22" s="105"/>
      <c r="CP22" s="105"/>
      <c r="CQ22" s="19"/>
      <c r="CR22" s="37" t="s">
        <v>104</v>
      </c>
      <c r="CS22" s="120"/>
      <c r="CT22" s="121"/>
      <c r="CV22" s="37" t="s">
        <v>103</v>
      </c>
      <c r="CW22" s="120"/>
      <c r="CX22" s="121"/>
      <c r="CZ22" s="12"/>
      <c r="DA22" s="12">
        <f>N27</f>
        <v>-648</v>
      </c>
      <c r="DB22" s="41">
        <f>+DB21+SUM(CZ22:DA22)</f>
        <v>-648</v>
      </c>
      <c r="DQ22" s="154">
        <v>14</v>
      </c>
      <c r="DR22" s="138">
        <f t="shared" si="16"/>
        <v>1358.7288223687872</v>
      </c>
      <c r="DS22" s="138">
        <f t="shared" si="17"/>
        <v>241.19635994609021</v>
      </c>
      <c r="DT22" s="138">
        <f t="shared" si="18"/>
        <v>1117.5324624226969</v>
      </c>
      <c r="DU22" s="138">
        <f t="shared" si="19"/>
        <v>56769.593924638953</v>
      </c>
      <c r="DW22" s="193" t="s">
        <v>167</v>
      </c>
      <c r="DX22" s="194"/>
      <c r="DY22" s="194">
        <f>SUM(DY11:DY20)</f>
        <v>136128</v>
      </c>
      <c r="DZ22" s="194"/>
      <c r="EA22" s="195"/>
      <c r="EB22" s="195"/>
      <c r="EC22" s="194"/>
      <c r="ED22" s="194">
        <f>SUM(ED11:ED20)</f>
        <v>51713</v>
      </c>
      <c r="EF22" s="15"/>
      <c r="EG22" s="225">
        <f>+'Trial Balance'!AN25</f>
        <v>-630</v>
      </c>
      <c r="EH22" s="9">
        <f t="shared" si="3"/>
        <v>94437</v>
      </c>
      <c r="EM22" s="183"/>
      <c r="EN22" s="184"/>
      <c r="EO22" s="182"/>
      <c r="EP22" s="178"/>
      <c r="EQ22" s="179">
        <v>42794</v>
      </c>
      <c r="ER22" s="180">
        <v>1023</v>
      </c>
      <c r="ES22" s="178"/>
      <c r="ET22" s="212">
        <v>3512.71</v>
      </c>
      <c r="EV22" s="15"/>
      <c r="EW22" s="213">
        <v>-630</v>
      </c>
      <c r="EX22" s="9">
        <v>94437</v>
      </c>
      <c r="FC22" s="17"/>
      <c r="FD22" s="17"/>
      <c r="FE22" s="17"/>
    </row>
    <row r="23" spans="1:161" ht="16.5" thickBot="1" x14ac:dyDescent="0.3">
      <c r="A23" s="64">
        <v>42778</v>
      </c>
      <c r="B23" s="117" t="s">
        <v>101</v>
      </c>
      <c r="C23" s="4">
        <f>500*1.05</f>
        <v>525</v>
      </c>
      <c r="D23" s="4"/>
      <c r="F23" s="46"/>
      <c r="G23" s="4" t="s">
        <v>47</v>
      </c>
      <c r="H23" s="4">
        <v>320</v>
      </c>
      <c r="I23" s="4"/>
      <c r="K23" s="46">
        <v>42794</v>
      </c>
      <c r="L23" s="4" t="s">
        <v>62</v>
      </c>
      <c r="M23" s="4">
        <v>180</v>
      </c>
      <c r="N23" s="4"/>
      <c r="P23" s="46">
        <v>42794</v>
      </c>
      <c r="Q23" s="4" t="s">
        <v>1</v>
      </c>
      <c r="R23" s="4">
        <f>100*8</f>
        <v>800</v>
      </c>
      <c r="S23" s="4"/>
      <c r="U23" s="46"/>
      <c r="V23" s="4"/>
      <c r="W23" s="4"/>
      <c r="X23" s="4"/>
      <c r="Z23" s="46"/>
      <c r="AA23" s="4"/>
      <c r="AB23" s="4"/>
      <c r="AC23" s="4"/>
      <c r="AE23" s="46"/>
      <c r="AF23" s="4"/>
      <c r="AG23" s="4"/>
      <c r="AH23" s="4"/>
      <c r="AI23" s="19"/>
      <c r="AJ23" s="36" t="s">
        <v>45</v>
      </c>
      <c r="AK23" s="11">
        <f>+BI35</f>
        <v>-2000.4</v>
      </c>
      <c r="AM23" s="15"/>
      <c r="AN23" s="15"/>
      <c r="AO23" s="9">
        <f t="shared" si="13"/>
        <v>99116.799499999994</v>
      </c>
      <c r="AQ23" s="15">
        <f>R29</f>
        <v>600</v>
      </c>
      <c r="AR23" s="15"/>
      <c r="AS23" s="9">
        <f t="shared" si="14"/>
        <v>10449.27</v>
      </c>
      <c r="AU23" s="15"/>
      <c r="AV23" s="15">
        <f>D31</f>
        <v>-825</v>
      </c>
      <c r="AW23" s="56">
        <f>+AW22+SUM(AU23:AV23)</f>
        <v>-0.5</v>
      </c>
      <c r="AY23" s="15"/>
      <c r="AZ23" s="15"/>
      <c r="BA23" s="57">
        <f t="shared" si="20"/>
        <v>-1200</v>
      </c>
      <c r="BC23" s="18" t="s">
        <v>6</v>
      </c>
      <c r="BD23" s="18" t="s">
        <v>7</v>
      </c>
      <c r="BE23" s="53" t="s">
        <v>4</v>
      </c>
      <c r="BG23" s="15"/>
      <c r="BH23" s="15"/>
      <c r="BI23" s="2">
        <f>+BI22+SUM(BG23:BH23)</f>
        <v>-144080</v>
      </c>
      <c r="BK23" s="76">
        <f>H9</f>
        <v>400</v>
      </c>
      <c r="BL23" s="76"/>
      <c r="BM23" s="2">
        <f t="shared" ref="BM23:BM34" si="26">+BM22+SUM(BK23:BL23)</f>
        <v>800</v>
      </c>
      <c r="BO23" s="76">
        <f>C10</f>
        <v>296</v>
      </c>
      <c r="BP23" s="76"/>
      <c r="BQ23" s="2">
        <f t="shared" ref="BQ23:BQ24" si="27">+BQ22+SUM(BO23:BP23)</f>
        <v>596</v>
      </c>
      <c r="BS23" s="1" t="s">
        <v>15</v>
      </c>
      <c r="BT23" s="2"/>
      <c r="BU23" s="2">
        <f>+'Jan Close'!I36</f>
        <v>0</v>
      </c>
      <c r="BW23" s="29" t="str">
        <f>+AJ25</f>
        <v>Service</v>
      </c>
      <c r="BX23" s="31">
        <f>-AK25</f>
        <v>9300</v>
      </c>
      <c r="BY23" s="12"/>
      <c r="BZ23" s="20"/>
      <c r="CA23" s="20"/>
      <c r="CB23" s="20"/>
      <c r="CC23" s="20"/>
      <c r="CD23" s="20"/>
      <c r="CE23" s="82"/>
      <c r="CF23" s="83"/>
      <c r="CG23" s="84"/>
      <c r="CH23" s="106"/>
      <c r="CI23" s="103"/>
      <c r="CJ23" s="85"/>
      <c r="CK23" s="84"/>
      <c r="CL23" s="107"/>
      <c r="CM23" s="103"/>
      <c r="CN23" s="86"/>
      <c r="CO23" s="105"/>
      <c r="CP23" s="105"/>
      <c r="CQ23" s="19"/>
      <c r="CR23" s="122" t="s">
        <v>6</v>
      </c>
      <c r="CS23" s="123" t="s">
        <v>7</v>
      </c>
      <c r="CT23" s="124" t="s">
        <v>4</v>
      </c>
      <c r="CV23" s="122" t="s">
        <v>6</v>
      </c>
      <c r="CW23" s="123" t="s">
        <v>7</v>
      </c>
      <c r="CX23" s="124" t="s">
        <v>4</v>
      </c>
      <c r="CZ23" s="12">
        <v>648</v>
      </c>
      <c r="DA23" s="12"/>
      <c r="DB23" s="41">
        <f>+DB22+SUM(CZ23:DA23)</f>
        <v>0</v>
      </c>
      <c r="DQ23" s="154">
        <v>15</v>
      </c>
      <c r="DR23" s="138">
        <f t="shared" si="16"/>
        <v>1358.7288223687872</v>
      </c>
      <c r="DS23" s="138">
        <f t="shared" si="17"/>
        <v>236.53997468599565</v>
      </c>
      <c r="DT23" s="138">
        <f t="shared" si="18"/>
        <v>1122.1888476827914</v>
      </c>
      <c r="DU23" s="138">
        <f t="shared" si="19"/>
        <v>55647.405076956165</v>
      </c>
      <c r="EM23" s="183"/>
      <c r="EN23" s="184"/>
      <c r="EO23" s="184"/>
      <c r="EP23" s="184"/>
      <c r="EQ23" s="185"/>
      <c r="ER23" s="186"/>
      <c r="ES23" s="184"/>
      <c r="ET23" s="187"/>
      <c r="EV23" s="263" t="s">
        <v>186</v>
      </c>
      <c r="EW23" s="224">
        <v>-80</v>
      </c>
      <c r="EX23" s="9">
        <f>+EX22+SUM(EV23:EW23)</f>
        <v>94357</v>
      </c>
      <c r="FB23" s="227"/>
      <c r="FC23" s="17"/>
      <c r="FD23" s="17"/>
      <c r="FE23" s="17"/>
    </row>
    <row r="24" spans="1:161" ht="15.75" x14ac:dyDescent="0.25">
      <c r="A24" s="64"/>
      <c r="B24" s="116" t="s">
        <v>45</v>
      </c>
      <c r="C24" s="4"/>
      <c r="D24" s="4">
        <v>-500</v>
      </c>
      <c r="F24" s="46"/>
      <c r="G24" s="116" t="s">
        <v>40</v>
      </c>
      <c r="H24" s="4"/>
      <c r="I24" s="4">
        <f>-H23</f>
        <v>-320</v>
      </c>
      <c r="K24" s="46"/>
      <c r="L24" s="116" t="s">
        <v>2</v>
      </c>
      <c r="M24" s="4"/>
      <c r="N24" s="4">
        <f>-M23</f>
        <v>-180</v>
      </c>
      <c r="P24" s="46"/>
      <c r="Q24" s="116" t="s">
        <v>46</v>
      </c>
      <c r="R24" s="4"/>
      <c r="S24" s="4">
        <f>-R23</f>
        <v>-800</v>
      </c>
      <c r="U24" s="46"/>
      <c r="V24" s="4"/>
      <c r="W24" s="4"/>
      <c r="X24" s="4"/>
      <c r="Z24" s="46"/>
      <c r="AA24" s="4"/>
      <c r="AB24" s="4"/>
      <c r="AC24" s="4"/>
      <c r="AE24" s="46"/>
      <c r="AF24" s="4"/>
      <c r="AG24" s="4"/>
      <c r="AH24" s="4"/>
      <c r="AI24" s="19"/>
      <c r="AJ24" s="36" t="s">
        <v>57</v>
      </c>
      <c r="AK24" s="11">
        <f>+BI40</f>
        <v>-4500</v>
      </c>
      <c r="AM24" s="15"/>
      <c r="AN24" s="15"/>
      <c r="AO24" s="9">
        <f t="shared" si="13"/>
        <v>99116.799499999994</v>
      </c>
      <c r="AQ24" s="15"/>
      <c r="AR24" s="15"/>
      <c r="AS24" s="9">
        <f t="shared" si="14"/>
        <v>10449.27</v>
      </c>
      <c r="AT24" s="20"/>
      <c r="AU24" s="15">
        <f>C33</f>
        <v>250</v>
      </c>
      <c r="AV24" s="15"/>
      <c r="AW24" s="56">
        <f t="shared" ref="AW24:AW32" si="28">+AW23+SUM(AU24:AV24)</f>
        <v>249.5</v>
      </c>
      <c r="AY24" s="15"/>
      <c r="AZ24" s="15"/>
      <c r="BA24" s="57">
        <f t="shared" si="20"/>
        <v>-1200</v>
      </c>
      <c r="BC24" s="41" t="s">
        <v>15</v>
      </c>
      <c r="BD24" s="9"/>
      <c r="BE24" s="57">
        <f>'Jan Close'!I18</f>
        <v>-123.37</v>
      </c>
      <c r="BG24" s="15"/>
      <c r="BH24" s="15"/>
      <c r="BI24" s="2">
        <f>+BI23+SUM(BG24:BH24)</f>
        <v>-144080</v>
      </c>
      <c r="BK24" s="76">
        <f>H16</f>
        <v>480</v>
      </c>
      <c r="BL24" s="76"/>
      <c r="BM24" s="2">
        <f t="shared" si="26"/>
        <v>1280</v>
      </c>
      <c r="BO24" s="15"/>
      <c r="BP24" s="15"/>
      <c r="BQ24" s="2">
        <f t="shared" si="27"/>
        <v>596</v>
      </c>
      <c r="BS24" s="15">
        <f>M20</f>
        <v>365</v>
      </c>
      <c r="BT24" s="15"/>
      <c r="BU24" s="2">
        <f>+BU23+SUM(BS24:BT24)</f>
        <v>365</v>
      </c>
      <c r="BW24" s="30" t="s">
        <v>72</v>
      </c>
      <c r="BX24" s="12"/>
      <c r="BY24" s="12">
        <f>SUM(BX21:BX23)</f>
        <v>15800.4</v>
      </c>
      <c r="BZ24" s="20"/>
      <c r="CA24" s="20"/>
      <c r="CB24" s="20"/>
      <c r="CC24" s="20"/>
      <c r="CD24" s="20"/>
      <c r="CE24" s="82"/>
      <c r="CF24" s="83"/>
      <c r="CG24" s="84"/>
      <c r="CH24" s="106"/>
      <c r="CI24" s="103"/>
      <c r="CJ24" s="85"/>
      <c r="CK24" s="84"/>
      <c r="CL24" s="107"/>
      <c r="CM24" s="103"/>
      <c r="CN24" s="86"/>
      <c r="CO24" s="105"/>
      <c r="CP24" s="105"/>
      <c r="CQ24" s="19"/>
      <c r="CR24" s="28" t="s">
        <v>15</v>
      </c>
      <c r="CS24" s="28"/>
      <c r="CT24" s="28">
        <v>0</v>
      </c>
      <c r="CV24" s="28" t="s">
        <v>15</v>
      </c>
      <c r="CW24" s="28"/>
      <c r="CX24" s="28">
        <v>0</v>
      </c>
      <c r="DQ24" s="154">
        <v>16</v>
      </c>
      <c r="DR24" s="138">
        <f t="shared" si="16"/>
        <v>1358.7288223687872</v>
      </c>
      <c r="DS24" s="138">
        <f t="shared" si="17"/>
        <v>231.8641878206507</v>
      </c>
      <c r="DT24" s="138">
        <f t="shared" si="18"/>
        <v>1126.8646345481366</v>
      </c>
      <c r="DU24" s="138">
        <f t="shared" si="19"/>
        <v>54520.540442408026</v>
      </c>
      <c r="EM24" s="183"/>
      <c r="EN24" s="184"/>
      <c r="EO24" s="184"/>
      <c r="EP24" s="184"/>
      <c r="EQ24" s="188" t="s">
        <v>165</v>
      </c>
      <c r="ER24" s="189"/>
      <c r="ES24" s="184"/>
      <c r="ET24" s="229">
        <v>100</v>
      </c>
      <c r="EV24" s="263" t="s">
        <v>185</v>
      </c>
      <c r="EW24" s="224">
        <v>-15</v>
      </c>
      <c r="EX24" s="9">
        <f>+EX23+SUM(EV24:EW24)</f>
        <v>94342</v>
      </c>
      <c r="FC24" s="17"/>
      <c r="FD24" s="17"/>
      <c r="FE24" s="17"/>
    </row>
    <row r="25" spans="1:161" s="71" customFormat="1" ht="16.5" thickBot="1" x14ac:dyDescent="0.3">
      <c r="A25" s="64"/>
      <c r="B25" s="116" t="s">
        <v>61</v>
      </c>
      <c r="C25" s="4"/>
      <c r="D25" s="4">
        <f>-SUM(C23:D24)</f>
        <v>-25</v>
      </c>
      <c r="E25" s="16"/>
      <c r="F25" s="46"/>
      <c r="G25" s="4"/>
      <c r="H25" s="4"/>
      <c r="I25" s="4"/>
      <c r="J25" s="16"/>
      <c r="K25" s="46"/>
      <c r="L25" s="4"/>
      <c r="M25" s="4"/>
      <c r="N25" s="4"/>
      <c r="O25" s="16"/>
      <c r="P25" s="46"/>
      <c r="Q25" s="4"/>
      <c r="R25" s="4"/>
      <c r="S25" s="4"/>
      <c r="T25" s="16"/>
      <c r="U25" s="46"/>
      <c r="V25" s="4"/>
      <c r="W25" s="4"/>
      <c r="X25" s="4"/>
      <c r="Y25" s="16"/>
      <c r="Z25" s="46"/>
      <c r="AA25" s="4"/>
      <c r="AB25" s="4"/>
      <c r="AC25" s="4"/>
      <c r="AD25" s="16"/>
      <c r="AE25" s="46"/>
      <c r="AF25" s="4"/>
      <c r="AG25" s="4"/>
      <c r="AH25" s="4"/>
      <c r="AI25" s="19"/>
      <c r="AJ25" s="36" t="s">
        <v>46</v>
      </c>
      <c r="AK25" s="11">
        <f>+BM17</f>
        <v>-9300</v>
      </c>
      <c r="AL25" s="17"/>
      <c r="AM25" s="15"/>
      <c r="AN25" s="15"/>
      <c r="AO25" s="9">
        <f t="shared" si="13"/>
        <v>99116.799499999994</v>
      </c>
      <c r="AP25" s="17"/>
      <c r="AQ25" s="15"/>
      <c r="AR25" s="15"/>
      <c r="AS25" s="9">
        <f t="shared" si="14"/>
        <v>10449.27</v>
      </c>
      <c r="AT25" s="20"/>
      <c r="AU25" s="15">
        <f>H26</f>
        <v>300</v>
      </c>
      <c r="AV25" s="15"/>
      <c r="AW25" s="56">
        <f t="shared" si="28"/>
        <v>549.5</v>
      </c>
      <c r="AX25" s="26"/>
      <c r="AY25" s="15"/>
      <c r="AZ25" s="15"/>
      <c r="BA25" s="57">
        <f t="shared" si="20"/>
        <v>-1200</v>
      </c>
      <c r="BB25" s="26"/>
      <c r="BC25" s="15"/>
      <c r="BD25" s="15">
        <f>D25</f>
        <v>-25</v>
      </c>
      <c r="BE25" s="57">
        <f>+BE24+SUM(BC25:BD25)</f>
        <v>-148.37</v>
      </c>
      <c r="BF25" s="26"/>
      <c r="BG25" s="16"/>
      <c r="BH25" s="16"/>
      <c r="BI25" s="16"/>
      <c r="BJ25" s="26"/>
      <c r="BK25" s="76">
        <f>H23</f>
        <v>320</v>
      </c>
      <c r="BL25" s="76"/>
      <c r="BM25" s="2">
        <f t="shared" si="26"/>
        <v>1600</v>
      </c>
      <c r="BN25" s="26"/>
      <c r="BO25" s="51"/>
      <c r="BP25" s="23"/>
      <c r="BQ25" s="52"/>
      <c r="BR25" s="26"/>
      <c r="BS25" s="76"/>
      <c r="BT25" s="76"/>
      <c r="BU25" s="2">
        <f t="shared" ref="BU25:BU26" si="29">+BU24+SUM(BS25:BT25)</f>
        <v>365</v>
      </c>
      <c r="BV25" s="26"/>
      <c r="BW25" s="12" t="s">
        <v>47</v>
      </c>
      <c r="BX25" s="12"/>
      <c r="BY25" s="31">
        <f>+AK26</f>
        <v>1600</v>
      </c>
      <c r="BZ25" s="20"/>
      <c r="CA25" s="20"/>
      <c r="CB25" s="20"/>
      <c r="CC25" s="20"/>
      <c r="CD25" s="20"/>
      <c r="CE25" s="82"/>
      <c r="CF25" s="83"/>
      <c r="CG25" s="84"/>
      <c r="CH25" s="106"/>
      <c r="CI25" s="103"/>
      <c r="CJ25" s="85"/>
      <c r="CK25" s="84"/>
      <c r="CL25" s="107"/>
      <c r="CM25" s="103"/>
      <c r="CN25" s="86"/>
      <c r="CO25" s="105"/>
      <c r="CP25" s="105"/>
      <c r="CQ25" s="19"/>
      <c r="CR25" s="65">
        <v>816.27</v>
      </c>
      <c r="CS25" s="65"/>
      <c r="CT25" s="28">
        <f>+CT24+SUM(CR25:CS25)</f>
        <v>816.27</v>
      </c>
      <c r="CU25" s="16"/>
      <c r="CV25" s="65">
        <v>525</v>
      </c>
      <c r="CW25" s="65"/>
      <c r="CX25" s="28">
        <f>+CX24+SUM(CV25:CW25)</f>
        <v>525</v>
      </c>
      <c r="DH25" s="133"/>
      <c r="DI25" s="133"/>
      <c r="DJ25" s="133"/>
      <c r="DK25" s="20"/>
      <c r="DL25" s="20"/>
      <c r="DM25" s="20"/>
      <c r="DN25" s="19"/>
      <c r="DO25" s="19"/>
      <c r="DP25" s="19"/>
      <c r="DQ25" s="155">
        <v>17</v>
      </c>
      <c r="DR25" s="138">
        <f t="shared" si="16"/>
        <v>1358.7288223687872</v>
      </c>
      <c r="DS25" s="138">
        <f t="shared" si="17"/>
        <v>227.16891851003345</v>
      </c>
      <c r="DT25" s="138">
        <f t="shared" si="18"/>
        <v>1131.5599038587538</v>
      </c>
      <c r="DU25" s="138">
        <f t="shared" si="19"/>
        <v>53388.980538549273</v>
      </c>
      <c r="DV25" s="20"/>
      <c r="DW25" s="162"/>
      <c r="DX25" s="162"/>
      <c r="DY25" s="162"/>
      <c r="DZ25" s="162"/>
      <c r="EA25" s="162"/>
      <c r="EB25" s="162"/>
      <c r="EC25" s="162"/>
      <c r="ED25" s="162"/>
      <c r="EL25" s="133"/>
      <c r="EM25" s="183"/>
      <c r="EN25" s="184"/>
      <c r="EO25" s="184"/>
      <c r="EP25" s="184"/>
      <c r="EQ25" s="188" t="s">
        <v>166</v>
      </c>
      <c r="ER25" s="189"/>
      <c r="ES25" s="184"/>
      <c r="ET25" s="229">
        <v>20</v>
      </c>
      <c r="EY25"/>
      <c r="FC25" s="133"/>
      <c r="FD25" s="133"/>
      <c r="FE25" s="133"/>
    </row>
    <row r="26" spans="1:161" s="72" customFormat="1" ht="16.5" thickBot="1" x14ac:dyDescent="0.3">
      <c r="A26" s="64"/>
      <c r="B26" s="117"/>
      <c r="C26" s="4"/>
      <c r="D26" s="4"/>
      <c r="E26" s="16"/>
      <c r="F26" s="46">
        <v>42787</v>
      </c>
      <c r="G26" s="4" t="s">
        <v>101</v>
      </c>
      <c r="H26" s="4">
        <v>300</v>
      </c>
      <c r="I26" s="4"/>
      <c r="J26" s="16"/>
      <c r="K26" s="46">
        <v>42794</v>
      </c>
      <c r="L26" s="4" t="s">
        <v>54</v>
      </c>
      <c r="M26" s="4">
        <v>648</v>
      </c>
      <c r="N26" s="4"/>
      <c r="O26" s="16"/>
      <c r="P26" s="46">
        <v>42794</v>
      </c>
      <c r="Q26" s="4" t="s">
        <v>1</v>
      </c>
      <c r="R26" s="4">
        <f>100*8</f>
        <v>800</v>
      </c>
      <c r="S26" s="4"/>
      <c r="T26" s="16"/>
      <c r="U26" s="46"/>
      <c r="V26" s="4"/>
      <c r="W26" s="4"/>
      <c r="X26" s="4"/>
      <c r="Y26" s="16"/>
      <c r="Z26" s="46"/>
      <c r="AA26" s="4"/>
      <c r="AB26" s="4"/>
      <c r="AC26" s="4"/>
      <c r="AD26" s="16"/>
      <c r="AE26" s="46"/>
      <c r="AF26" s="4"/>
      <c r="AG26" s="4"/>
      <c r="AH26" s="4"/>
      <c r="AI26" s="19"/>
      <c r="AJ26" s="36" t="s">
        <v>47</v>
      </c>
      <c r="AK26" s="11">
        <f>+BM34</f>
        <v>1600</v>
      </c>
      <c r="AL26" s="17"/>
      <c r="AM26" s="15"/>
      <c r="AN26" s="15"/>
      <c r="AO26" s="9">
        <f t="shared" si="13"/>
        <v>99116.799499999994</v>
      </c>
      <c r="AP26" s="17"/>
      <c r="AQ26" s="15"/>
      <c r="AR26" s="15"/>
      <c r="AS26" s="9">
        <f t="shared" si="14"/>
        <v>10449.27</v>
      </c>
      <c r="AT26" s="20"/>
      <c r="AU26" s="15">
        <f>M5</f>
        <v>816</v>
      </c>
      <c r="AV26" s="15"/>
      <c r="AW26" s="56">
        <f t="shared" si="28"/>
        <v>1365.5</v>
      </c>
      <c r="AX26" s="26"/>
      <c r="AY26" s="26"/>
      <c r="AZ26" s="26"/>
      <c r="BA26" s="26"/>
      <c r="BB26" s="26"/>
      <c r="BC26" s="15"/>
      <c r="BD26" s="15">
        <f>I7</f>
        <v>-25</v>
      </c>
      <c r="BE26" s="57">
        <f t="shared" ref="BE26:BE31" si="30">+BE25+SUM(BC26:BD26)</f>
        <v>-173.37</v>
      </c>
      <c r="BF26" s="26"/>
      <c r="BG26" s="48" t="str">
        <f>+AJ23</f>
        <v>Merchandise Sales</v>
      </c>
      <c r="BH26" s="49"/>
      <c r="BI26" s="50"/>
      <c r="BJ26" s="26"/>
      <c r="BK26" s="76"/>
      <c r="BL26" s="76"/>
      <c r="BM26" s="2">
        <f t="shared" si="26"/>
        <v>1600</v>
      </c>
      <c r="BN26" s="26"/>
      <c r="BO26" s="48" t="str">
        <f>+AJ31</f>
        <v>Internet Expense</v>
      </c>
      <c r="BP26" s="49"/>
      <c r="BQ26" s="50"/>
      <c r="BR26" s="26"/>
      <c r="BS26" s="15"/>
      <c r="BT26" s="15"/>
      <c r="BU26" s="2">
        <f t="shared" si="29"/>
        <v>365</v>
      </c>
      <c r="BV26" s="26"/>
      <c r="BW26" s="12" t="s">
        <v>73</v>
      </c>
      <c r="BX26" s="12"/>
      <c r="BY26" s="12">
        <f>+BY24-BY25</f>
        <v>14200.4</v>
      </c>
      <c r="BZ26" s="20"/>
      <c r="CA26" s="20"/>
      <c r="CB26" s="20"/>
      <c r="CC26" s="20"/>
      <c r="CD26" s="20"/>
      <c r="CE26" s="82"/>
      <c r="CF26" s="87"/>
      <c r="CG26" s="88"/>
      <c r="CH26" s="108"/>
      <c r="CI26" s="103"/>
      <c r="CJ26" s="89"/>
      <c r="CK26" s="115"/>
      <c r="CL26" s="109"/>
      <c r="CM26" s="103"/>
      <c r="CN26" s="90"/>
      <c r="CO26" s="110"/>
      <c r="CP26" s="110"/>
      <c r="CQ26" s="19"/>
      <c r="CR26" s="65">
        <f>H12</f>
        <v>630</v>
      </c>
      <c r="CS26" s="65"/>
      <c r="CT26" s="28">
        <f>+CT25+SUM(CR26:CS26)</f>
        <v>1446.27</v>
      </c>
      <c r="CU26" s="27"/>
      <c r="CV26" s="65"/>
      <c r="CW26" s="65">
        <v>-525</v>
      </c>
      <c r="CX26" s="28">
        <f>+CX25+SUM(CV26:CW26)</f>
        <v>0</v>
      </c>
      <c r="DH26" s="134"/>
      <c r="DI26" s="134"/>
      <c r="DJ26" s="134"/>
      <c r="DK26" s="20"/>
      <c r="DL26" s="20"/>
      <c r="DM26" s="20"/>
      <c r="DN26" s="19"/>
      <c r="DO26" s="19"/>
      <c r="DP26" s="19"/>
      <c r="DQ26" s="155">
        <v>18</v>
      </c>
      <c r="DR26" s="138">
        <f t="shared" si="16"/>
        <v>1358.7288223687872</v>
      </c>
      <c r="DS26" s="138">
        <f t="shared" si="17"/>
        <v>222.45408557728865</v>
      </c>
      <c r="DT26" s="138">
        <f t="shared" si="18"/>
        <v>1136.2747367914985</v>
      </c>
      <c r="DU26" s="138">
        <f t="shared" si="19"/>
        <v>52252.705801757773</v>
      </c>
      <c r="DV26" s="20"/>
      <c r="DW26" s="162"/>
      <c r="DX26" s="162"/>
      <c r="DY26" s="162"/>
      <c r="DZ26" s="162"/>
      <c r="EA26" s="162"/>
      <c r="EB26" s="162"/>
      <c r="EC26" s="162"/>
      <c r="ED26" s="162"/>
      <c r="EL26" s="134"/>
      <c r="EM26" s="190"/>
      <c r="EN26" s="191"/>
      <c r="EO26" s="191"/>
      <c r="EP26" s="191"/>
      <c r="EQ26" s="191"/>
      <c r="ER26" s="191"/>
      <c r="ES26" s="191"/>
      <c r="ET26" s="192"/>
      <c r="EY26"/>
      <c r="FC26" s="134"/>
      <c r="FD26" s="134"/>
      <c r="FE26" s="134"/>
    </row>
    <row r="27" spans="1:161" ht="18.600000000000001" customHeight="1" thickBot="1" x14ac:dyDescent="0.3">
      <c r="A27" s="64"/>
      <c r="B27" s="117" t="s">
        <v>47</v>
      </c>
      <c r="C27" s="4">
        <v>400</v>
      </c>
      <c r="D27" s="4"/>
      <c r="F27" s="46"/>
      <c r="G27" s="116" t="s">
        <v>1</v>
      </c>
      <c r="H27" s="4"/>
      <c r="I27" s="4">
        <f>-H26</f>
        <v>-300</v>
      </c>
      <c r="K27" s="46"/>
      <c r="L27" s="116" t="s">
        <v>2</v>
      </c>
      <c r="M27" s="4"/>
      <c r="N27" s="4">
        <f>-M26</f>
        <v>-648</v>
      </c>
      <c r="P27" s="46"/>
      <c r="Q27" s="116" t="s">
        <v>46</v>
      </c>
      <c r="R27" s="4"/>
      <c r="S27" s="4">
        <f>-R26</f>
        <v>-800</v>
      </c>
      <c r="U27" s="46"/>
      <c r="V27" s="4"/>
      <c r="W27" s="4"/>
      <c r="X27" s="4"/>
      <c r="Z27" s="46"/>
      <c r="AA27" s="4"/>
      <c r="AB27" s="4"/>
      <c r="AC27" s="4"/>
      <c r="AE27" s="46"/>
      <c r="AF27" s="4"/>
      <c r="AG27" s="4"/>
      <c r="AH27" s="4"/>
      <c r="AI27" s="19"/>
      <c r="AJ27" s="36" t="s">
        <v>48</v>
      </c>
      <c r="AK27" s="11">
        <f>+BM41</f>
        <v>0</v>
      </c>
      <c r="AM27" s="15"/>
      <c r="AN27" s="15"/>
      <c r="AO27" s="9">
        <f t="shared" si="13"/>
        <v>99116.799499999994</v>
      </c>
      <c r="AQ27" s="15"/>
      <c r="AR27" s="15"/>
      <c r="AS27" s="9">
        <f t="shared" si="14"/>
        <v>10449.27</v>
      </c>
      <c r="AT27" s="20"/>
      <c r="AU27" s="15">
        <f>M8</f>
        <v>275</v>
      </c>
      <c r="AV27" s="15"/>
      <c r="AW27" s="56">
        <f t="shared" si="28"/>
        <v>1640.5</v>
      </c>
      <c r="AY27" s="38" t="str">
        <f>+AJ14</f>
        <v>Visa</v>
      </c>
      <c r="AZ27" s="38"/>
      <c r="BA27" s="39"/>
      <c r="BC27" s="15"/>
      <c r="BD27" s="15">
        <f>I14</f>
        <v>-30</v>
      </c>
      <c r="BE27" s="57">
        <f t="shared" si="30"/>
        <v>-203.37</v>
      </c>
      <c r="BG27" s="18" t="s">
        <v>6</v>
      </c>
      <c r="BH27" s="18" t="s">
        <v>7</v>
      </c>
      <c r="BI27" s="53" t="s">
        <v>4</v>
      </c>
      <c r="BK27" s="76"/>
      <c r="BL27" s="76"/>
      <c r="BM27" s="2">
        <f t="shared" si="26"/>
        <v>1600</v>
      </c>
      <c r="BO27" s="54" t="s">
        <v>6</v>
      </c>
      <c r="BP27" s="54" t="s">
        <v>7</v>
      </c>
      <c r="BQ27" s="55" t="s">
        <v>4</v>
      </c>
      <c r="BS27" s="16"/>
      <c r="BT27" s="16"/>
      <c r="BU27" s="16"/>
      <c r="BW27" s="12" t="s">
        <v>23</v>
      </c>
      <c r="BX27" s="12"/>
      <c r="BY27" s="12"/>
      <c r="BZ27" s="20"/>
      <c r="CA27" s="20"/>
      <c r="CB27" s="20"/>
      <c r="CC27" s="20"/>
      <c r="CD27" s="20"/>
      <c r="CE27" s="20"/>
      <c r="CF27" s="20"/>
      <c r="CG27" s="20"/>
      <c r="CH27" s="114"/>
      <c r="CI27" s="114"/>
      <c r="CJ27" s="20"/>
      <c r="CK27" s="20"/>
      <c r="CL27" s="114"/>
      <c r="CM27" s="114"/>
      <c r="CN27" s="20"/>
      <c r="CO27" s="114"/>
      <c r="CP27" s="114"/>
      <c r="CQ27" s="19"/>
      <c r="CR27" s="65"/>
      <c r="CS27" s="65">
        <f>N6</f>
        <v>-816</v>
      </c>
      <c r="CT27" s="28">
        <f>+CT26+SUM(CR27:CS27)</f>
        <v>630.27</v>
      </c>
      <c r="CV27" s="65"/>
      <c r="CW27" s="65"/>
      <c r="CX27" s="28">
        <f>+CX26+SUM(CV27:CW27)</f>
        <v>0</v>
      </c>
      <c r="DK27" s="20"/>
      <c r="DL27" s="20"/>
      <c r="DM27" s="20"/>
      <c r="DN27" s="19"/>
      <c r="DO27" s="19"/>
      <c r="DP27" s="19"/>
      <c r="DQ27" s="155">
        <v>19</v>
      </c>
      <c r="DR27" s="138">
        <f t="shared" si="16"/>
        <v>1358.7288223687872</v>
      </c>
      <c r="DS27" s="138">
        <f t="shared" si="17"/>
        <v>217.71960750732407</v>
      </c>
      <c r="DT27" s="138">
        <f t="shared" si="18"/>
        <v>1141.0092148614631</v>
      </c>
      <c r="DU27" s="138">
        <f t="shared" si="19"/>
        <v>51111.696586896309</v>
      </c>
      <c r="DV27" s="20"/>
      <c r="EK27" s="17">
        <v>109510</v>
      </c>
      <c r="EM27" s="193" t="s">
        <v>167</v>
      </c>
      <c r="EN27" s="194"/>
      <c r="EO27" s="202">
        <f>SUM(EO11:EO25)</f>
        <v>14030.5</v>
      </c>
      <c r="EP27" s="202"/>
      <c r="EQ27" s="203"/>
      <c r="ER27" s="203"/>
      <c r="ES27" s="203"/>
      <c r="ET27" s="204">
        <f>SUM(ET11:ET25)</f>
        <v>24149.41</v>
      </c>
      <c r="FC27" s="17"/>
      <c r="FD27" s="17"/>
      <c r="FE27" s="17"/>
    </row>
    <row r="28" spans="1:161" ht="16.5" customHeight="1" thickBot="1" x14ac:dyDescent="0.3">
      <c r="A28" s="64"/>
      <c r="B28" s="116" t="s">
        <v>40</v>
      </c>
      <c r="C28" s="4"/>
      <c r="D28" s="4">
        <f>-C27</f>
        <v>-400</v>
      </c>
      <c r="F28" s="46"/>
      <c r="G28" s="4"/>
      <c r="H28" s="4"/>
      <c r="I28" s="4"/>
      <c r="K28" s="46"/>
      <c r="L28" s="4"/>
      <c r="M28" s="4"/>
      <c r="N28" s="4"/>
      <c r="P28" s="46"/>
      <c r="Q28" s="4"/>
      <c r="R28" s="4"/>
      <c r="S28" s="4"/>
      <c r="U28" s="46"/>
      <c r="V28" s="4"/>
      <c r="W28" s="4"/>
      <c r="X28" s="4"/>
      <c r="Z28" s="46"/>
      <c r="AA28" s="4"/>
      <c r="AB28" s="4"/>
      <c r="AC28" s="4"/>
      <c r="AE28" s="46"/>
      <c r="AF28" s="4"/>
      <c r="AG28" s="4"/>
      <c r="AH28" s="4"/>
      <c r="AI28" s="19"/>
      <c r="AJ28" s="36" t="s">
        <v>49</v>
      </c>
      <c r="AK28" s="11">
        <f>+BQ10</f>
        <v>0</v>
      </c>
      <c r="AM28" s="15"/>
      <c r="AN28" s="15"/>
      <c r="AO28" s="9">
        <f t="shared" si="13"/>
        <v>99116.799499999994</v>
      </c>
      <c r="AT28" s="20"/>
      <c r="AU28" s="15"/>
      <c r="AV28" s="15">
        <f>N12</f>
        <v>-1641</v>
      </c>
      <c r="AW28" s="56">
        <f t="shared" si="28"/>
        <v>-0.5</v>
      </c>
      <c r="AY28" s="18" t="s">
        <v>6</v>
      </c>
      <c r="AZ28" s="18" t="s">
        <v>7</v>
      </c>
      <c r="BA28" s="53" t="s">
        <v>4</v>
      </c>
      <c r="BC28" s="15"/>
      <c r="BD28" s="15">
        <f>I21</f>
        <v>-20</v>
      </c>
      <c r="BE28" s="57">
        <f t="shared" si="30"/>
        <v>-223.37</v>
      </c>
      <c r="BG28" s="58" t="s">
        <v>15</v>
      </c>
      <c r="BH28" s="62"/>
      <c r="BI28" s="3">
        <f>'Jan Close'!I24</f>
        <v>-0.40000000000009095</v>
      </c>
      <c r="BK28" s="76"/>
      <c r="BL28" s="76"/>
      <c r="BM28" s="2">
        <f t="shared" si="26"/>
        <v>1600</v>
      </c>
      <c r="BO28" s="1" t="s">
        <v>15</v>
      </c>
      <c r="BP28" s="2"/>
      <c r="BQ28" s="2">
        <f>+'Jan Close'!I32</f>
        <v>0</v>
      </c>
      <c r="BS28" s="48" t="str">
        <f>+AJ36</f>
        <v>Utilities</v>
      </c>
      <c r="BT28" s="49"/>
      <c r="BU28" s="50"/>
      <c r="BW28" s="29" t="str">
        <f t="shared" ref="BW28:BX37" si="31">+AJ27</f>
        <v>Bank Service Charges</v>
      </c>
      <c r="BX28" s="12">
        <f t="shared" si="31"/>
        <v>0</v>
      </c>
      <c r="BY28" s="12"/>
      <c r="CE28" s="100" t="s">
        <v>90</v>
      </c>
      <c r="CF28" s="254" t="s">
        <v>81</v>
      </c>
      <c r="CG28" s="255"/>
      <c r="CH28" s="256"/>
      <c r="CI28" s="103"/>
      <c r="CJ28" s="257" t="s">
        <v>82</v>
      </c>
      <c r="CK28" s="258"/>
      <c r="CL28" s="259"/>
      <c r="CM28" s="103"/>
      <c r="CN28" s="260" t="s">
        <v>83</v>
      </c>
      <c r="CO28" s="261"/>
      <c r="CP28" s="262"/>
      <c r="CR28" s="27"/>
      <c r="CS28" s="27"/>
      <c r="CT28" s="27"/>
      <c r="CU28" s="27"/>
      <c r="CV28" s="27"/>
      <c r="CW28" s="27"/>
      <c r="CX28" s="27"/>
      <c r="DK28" s="20"/>
      <c r="DL28" s="20"/>
      <c r="DM28" s="20"/>
      <c r="DN28" s="19"/>
      <c r="DO28" s="19"/>
      <c r="DP28" s="19"/>
      <c r="DQ28" s="155">
        <v>20</v>
      </c>
      <c r="DR28" s="138">
        <f t="shared" si="16"/>
        <v>1358.7288223687872</v>
      </c>
      <c r="DS28" s="138">
        <f t="shared" si="17"/>
        <v>212.96540244540131</v>
      </c>
      <c r="DT28" s="138">
        <f t="shared" si="18"/>
        <v>1145.7634199233858</v>
      </c>
      <c r="DU28" s="138">
        <f t="shared" si="19"/>
        <v>49965.933166972922</v>
      </c>
      <c r="DV28" s="20"/>
      <c r="EK28" s="17">
        <v>109415</v>
      </c>
    </row>
    <row r="29" spans="1:161" ht="16.5" thickBot="1" x14ac:dyDescent="0.3">
      <c r="A29" s="64"/>
      <c r="B29" s="117"/>
      <c r="C29" s="4"/>
      <c r="D29" s="4"/>
      <c r="F29" s="46">
        <v>42787</v>
      </c>
      <c r="G29" s="4" t="s">
        <v>2</v>
      </c>
      <c r="H29" s="4">
        <f>-I30</f>
        <v>168</v>
      </c>
      <c r="I29" s="4"/>
      <c r="K29" s="46">
        <v>42794</v>
      </c>
      <c r="L29" s="4" t="s">
        <v>2</v>
      </c>
      <c r="M29" s="4">
        <f>-N30</f>
        <v>1193</v>
      </c>
      <c r="N29" s="4"/>
      <c r="P29" s="46">
        <v>42794</v>
      </c>
      <c r="Q29" s="4" t="s">
        <v>1</v>
      </c>
      <c r="R29" s="4">
        <f>100*6</f>
        <v>600</v>
      </c>
      <c r="S29" s="4"/>
      <c r="U29" s="46"/>
      <c r="V29" s="4"/>
      <c r="W29" s="4"/>
      <c r="X29" s="4"/>
      <c r="Z29" s="46"/>
      <c r="AA29" s="4"/>
      <c r="AB29" s="4"/>
      <c r="AC29" s="4"/>
      <c r="AE29" s="46"/>
      <c r="AF29" s="4"/>
      <c r="AG29" s="4"/>
      <c r="AH29" s="4"/>
      <c r="AI29" s="19"/>
      <c r="AJ29" s="36" t="s">
        <v>3</v>
      </c>
      <c r="AK29" s="11">
        <f>+BQ17</f>
        <v>0</v>
      </c>
      <c r="AM29" s="15"/>
      <c r="AN29" s="15"/>
      <c r="AO29" s="9">
        <f t="shared" si="13"/>
        <v>99116.799499999994</v>
      </c>
      <c r="AQ29" s="37" t="str">
        <f>AJ7</f>
        <v>Inventory Asset</v>
      </c>
      <c r="AR29" s="37"/>
      <c r="AS29" s="40"/>
      <c r="AT29" s="20"/>
      <c r="AU29" s="15">
        <f>W12</f>
        <v>4500</v>
      </c>
      <c r="AV29" s="15"/>
      <c r="AW29" s="56">
        <f t="shared" si="28"/>
        <v>4499.5</v>
      </c>
      <c r="AY29" s="78" t="s">
        <v>15</v>
      </c>
      <c r="AZ29" s="79"/>
      <c r="BA29" s="57">
        <f>'Jan Close'!I14</f>
        <v>-1000</v>
      </c>
      <c r="BC29" s="15">
        <f>M14</f>
        <v>123</v>
      </c>
      <c r="BD29" s="15"/>
      <c r="BE29" s="57">
        <f t="shared" si="30"/>
        <v>-100.37</v>
      </c>
      <c r="BG29" s="15"/>
      <c r="BH29" s="15">
        <f>D24</f>
        <v>-500</v>
      </c>
      <c r="BI29" s="3">
        <f>+BI28+SUM(BG29:BH29)</f>
        <v>-500.40000000000009</v>
      </c>
      <c r="BK29" s="76"/>
      <c r="BL29" s="76"/>
      <c r="BM29" s="2">
        <f t="shared" si="26"/>
        <v>1600</v>
      </c>
      <c r="BO29" s="15">
        <f>M23</f>
        <v>180</v>
      </c>
      <c r="BP29" s="15"/>
      <c r="BQ29" s="2">
        <f>+BQ28+SUM(BO29:BP29)</f>
        <v>180</v>
      </c>
      <c r="BS29" s="54" t="s">
        <v>6</v>
      </c>
      <c r="BT29" s="54" t="s">
        <v>7</v>
      </c>
      <c r="BU29" s="55" t="s">
        <v>4</v>
      </c>
      <c r="BW29" s="29" t="str">
        <f t="shared" si="31"/>
        <v>Depreciation Expense</v>
      </c>
      <c r="BX29" s="12">
        <f t="shared" si="31"/>
        <v>0</v>
      </c>
      <c r="BY29" s="12"/>
      <c r="CE29" s="92"/>
      <c r="CF29" s="95"/>
      <c r="CG29" s="95" t="s">
        <v>84</v>
      </c>
      <c r="CH29" s="112" t="s">
        <v>85</v>
      </c>
      <c r="CI29" s="103"/>
      <c r="CJ29" s="95"/>
      <c r="CK29" s="95" t="s">
        <v>84</v>
      </c>
      <c r="CL29" s="112" t="s">
        <v>85</v>
      </c>
      <c r="CM29" s="103"/>
      <c r="CN29" s="95"/>
      <c r="CO29" s="112" t="s">
        <v>84</v>
      </c>
      <c r="CP29" s="112" t="s">
        <v>85</v>
      </c>
      <c r="CR29" s="37" t="s">
        <v>106</v>
      </c>
      <c r="CS29" s="120"/>
      <c r="CT29" s="121"/>
      <c r="CU29" s="71"/>
      <c r="CV29" s="37" t="s">
        <v>142</v>
      </c>
      <c r="CW29" s="120"/>
      <c r="CX29" s="121"/>
      <c r="DQ29" s="154">
        <v>21</v>
      </c>
      <c r="DR29" s="138">
        <f t="shared" si="16"/>
        <v>1358.7288223687872</v>
      </c>
      <c r="DS29" s="138">
        <f t="shared" si="17"/>
        <v>208.19138819572052</v>
      </c>
      <c r="DT29" s="138">
        <f t="shared" si="18"/>
        <v>1150.5374341730667</v>
      </c>
      <c r="DU29" s="138">
        <f t="shared" si="19"/>
        <v>48815.395732799858</v>
      </c>
      <c r="EK29" s="17">
        <f>+EK27-EK28</f>
        <v>95</v>
      </c>
    </row>
    <row r="30" spans="1:161" s="19" customFormat="1" ht="16.5" thickBot="1" x14ac:dyDescent="0.3">
      <c r="A30" s="64">
        <v>42778</v>
      </c>
      <c r="B30" s="117" t="s">
        <v>39</v>
      </c>
      <c r="C30" s="4">
        <v>825</v>
      </c>
      <c r="D30" s="4"/>
      <c r="E30" s="16"/>
      <c r="F30" s="46"/>
      <c r="G30" s="116" t="s">
        <v>39</v>
      </c>
      <c r="H30" s="4"/>
      <c r="I30" s="4">
        <v>-168</v>
      </c>
      <c r="J30" s="16"/>
      <c r="K30" s="46"/>
      <c r="L30" s="116" t="s">
        <v>39</v>
      </c>
      <c r="M30" s="4"/>
      <c r="N30" s="4">
        <v>-1193</v>
      </c>
      <c r="O30" s="16"/>
      <c r="P30" s="46"/>
      <c r="Q30" s="116" t="s">
        <v>46</v>
      </c>
      <c r="R30" s="4"/>
      <c r="S30" s="4">
        <f>-R29</f>
        <v>-600</v>
      </c>
      <c r="T30" s="16"/>
      <c r="U30" s="46"/>
      <c r="V30" s="4"/>
      <c r="W30" s="4"/>
      <c r="X30" s="4"/>
      <c r="Y30" s="16"/>
      <c r="Z30" s="46"/>
      <c r="AA30" s="4"/>
      <c r="AB30" s="4"/>
      <c r="AC30" s="4"/>
      <c r="AD30" s="16"/>
      <c r="AE30" s="46"/>
      <c r="AF30" s="4"/>
      <c r="AG30" s="4"/>
      <c r="AH30" s="4"/>
      <c r="AJ30" s="36" t="s">
        <v>50</v>
      </c>
      <c r="AK30" s="11">
        <f>+BQ24</f>
        <v>596</v>
      </c>
      <c r="AL30" s="20"/>
      <c r="AM30" s="15"/>
      <c r="AN30" s="15"/>
      <c r="AO30" s="9">
        <f t="shared" si="13"/>
        <v>99116.799499999994</v>
      </c>
      <c r="AP30" s="17"/>
      <c r="AQ30" s="18" t="s">
        <v>6</v>
      </c>
      <c r="AR30" s="18" t="s">
        <v>7</v>
      </c>
      <c r="AS30" s="18" t="s">
        <v>4</v>
      </c>
      <c r="AT30" s="20"/>
      <c r="AU30" s="15"/>
      <c r="AV30" s="15"/>
      <c r="AW30" s="56">
        <f t="shared" si="28"/>
        <v>4499.5</v>
      </c>
      <c r="AX30" s="26"/>
      <c r="AY30" s="15"/>
      <c r="AZ30" s="15"/>
      <c r="BA30" s="77">
        <f>+BA29+SUM(AY30:AZ30)</f>
        <v>-1000</v>
      </c>
      <c r="BB30" s="26"/>
      <c r="BC30" s="15"/>
      <c r="BD30" s="15"/>
      <c r="BE30" s="57">
        <f t="shared" si="30"/>
        <v>-100.37</v>
      </c>
      <c r="BF30" s="26"/>
      <c r="BG30" s="15"/>
      <c r="BH30" s="15">
        <f>I6</f>
        <v>-500</v>
      </c>
      <c r="BI30" s="3">
        <f>+BI29+SUM(BG30:BH30)</f>
        <v>-1000.4000000000001</v>
      </c>
      <c r="BJ30" s="26"/>
      <c r="BK30" s="76"/>
      <c r="BL30" s="76"/>
      <c r="BM30" s="2">
        <f t="shared" si="26"/>
        <v>1600</v>
      </c>
      <c r="BN30" s="26"/>
      <c r="BO30" s="76"/>
      <c r="BP30" s="76"/>
      <c r="BQ30" s="2">
        <f t="shared" ref="BQ30:BQ31" si="32">+BQ29+SUM(BO30:BP30)</f>
        <v>180</v>
      </c>
      <c r="BR30" s="26"/>
      <c r="BS30" s="1" t="s">
        <v>15</v>
      </c>
      <c r="BT30" s="2"/>
      <c r="BU30" s="2">
        <f>+'Jan Close'!I37</f>
        <v>0</v>
      </c>
      <c r="BV30" s="26"/>
      <c r="BW30" s="29" t="str">
        <f t="shared" si="31"/>
        <v>Insurance Expense</v>
      </c>
      <c r="BX30" s="12">
        <f t="shared" si="31"/>
        <v>0</v>
      </c>
      <c r="BY30" s="12"/>
      <c r="BZ30" s="20"/>
      <c r="CA30" s="20"/>
      <c r="CB30" s="20"/>
      <c r="CC30" s="20"/>
      <c r="CD30" s="20"/>
      <c r="CE30" s="93" t="s">
        <v>27</v>
      </c>
      <c r="CF30" s="96" t="s">
        <v>86</v>
      </c>
      <c r="CG30" s="96" t="s">
        <v>87</v>
      </c>
      <c r="CH30" s="113" t="s">
        <v>87</v>
      </c>
      <c r="CI30" s="103"/>
      <c r="CJ30" s="96" t="s">
        <v>86</v>
      </c>
      <c r="CK30" s="96" t="s">
        <v>87</v>
      </c>
      <c r="CL30" s="113" t="s">
        <v>87</v>
      </c>
      <c r="CM30" s="103"/>
      <c r="CN30" s="96" t="s">
        <v>86</v>
      </c>
      <c r="CO30" s="113" t="s">
        <v>87</v>
      </c>
      <c r="CP30" s="113" t="s">
        <v>87</v>
      </c>
      <c r="CR30" s="122" t="s">
        <v>6</v>
      </c>
      <c r="CS30" s="123" t="s">
        <v>7</v>
      </c>
      <c r="CT30" s="124" t="s">
        <v>4</v>
      </c>
      <c r="CU30" s="17"/>
      <c r="CV30" s="122" t="s">
        <v>6</v>
      </c>
      <c r="CW30" s="123" t="s">
        <v>7</v>
      </c>
      <c r="CX30" s="124" t="s">
        <v>4</v>
      </c>
      <c r="DH30" s="20"/>
      <c r="DI30" s="20"/>
      <c r="DJ30" s="20"/>
      <c r="DK30" s="20"/>
      <c r="DL30" s="20"/>
      <c r="DM30" s="20"/>
      <c r="DQ30" s="154">
        <v>22</v>
      </c>
      <c r="DR30" s="138">
        <f t="shared" si="16"/>
        <v>1358.7288223687872</v>
      </c>
      <c r="DS30" s="138">
        <f t="shared" si="17"/>
        <v>203.39748221999943</v>
      </c>
      <c r="DT30" s="138">
        <f t="shared" si="18"/>
        <v>1155.3313401487878</v>
      </c>
      <c r="DU30" s="138">
        <f t="shared" si="19"/>
        <v>47660.064392651067</v>
      </c>
      <c r="DV30" s="20"/>
      <c r="DW30" s="162"/>
      <c r="DX30" s="162"/>
      <c r="DY30" s="162"/>
      <c r="DZ30" s="162"/>
      <c r="EA30" s="162"/>
      <c r="EB30" s="162"/>
      <c r="EC30" s="162"/>
      <c r="ED30" s="162"/>
      <c r="EI30" s="20"/>
      <c r="EJ30" s="20"/>
      <c r="EK30" s="20"/>
      <c r="EL30" s="20"/>
      <c r="EY30"/>
      <c r="EZ30"/>
      <c r="FA30"/>
      <c r="FB30"/>
    </row>
    <row r="31" spans="1:161" ht="15.75" x14ac:dyDescent="0.25">
      <c r="A31" s="64"/>
      <c r="B31" s="116" t="s">
        <v>101</v>
      </c>
      <c r="C31" s="4"/>
      <c r="D31" s="4">
        <f>-C30</f>
        <v>-825</v>
      </c>
      <c r="F31" s="46"/>
      <c r="G31" s="4"/>
      <c r="H31" s="4"/>
      <c r="I31" s="4"/>
      <c r="K31" s="46"/>
      <c r="L31" s="4"/>
      <c r="M31" s="4"/>
      <c r="N31" s="4"/>
      <c r="P31" s="46"/>
      <c r="Q31" s="4"/>
      <c r="R31" s="4"/>
      <c r="S31" s="4"/>
      <c r="U31" s="46"/>
      <c r="V31" s="4"/>
      <c r="W31" s="4"/>
      <c r="X31" s="4"/>
      <c r="Z31" s="46"/>
      <c r="AA31" s="4"/>
      <c r="AB31" s="4"/>
      <c r="AC31" s="4"/>
      <c r="AE31" s="46"/>
      <c r="AF31" s="4"/>
      <c r="AG31" s="4"/>
      <c r="AH31" s="4"/>
      <c r="AJ31" s="36" t="s">
        <v>62</v>
      </c>
      <c r="AK31" s="11">
        <f>+BQ31</f>
        <v>180</v>
      </c>
      <c r="AM31" s="15"/>
      <c r="AN31" s="15"/>
      <c r="AO31" s="9">
        <f t="shared" si="13"/>
        <v>99116.799499999994</v>
      </c>
      <c r="AQ31" s="9" t="s">
        <v>15</v>
      </c>
      <c r="AR31" s="9"/>
      <c r="AS31" s="9">
        <f>'Jan Close'!I7</f>
        <v>1945</v>
      </c>
      <c r="AT31" s="20"/>
      <c r="AU31" s="15"/>
      <c r="AV31" s="15"/>
      <c r="AW31" s="56">
        <f t="shared" si="28"/>
        <v>4499.5</v>
      </c>
      <c r="AY31" s="15"/>
      <c r="AZ31" s="15"/>
      <c r="BA31" s="77">
        <f>+BA30+SUM(AY31:AZ31)</f>
        <v>-1000</v>
      </c>
      <c r="BC31" s="15"/>
      <c r="BD31" s="15"/>
      <c r="BE31" s="57">
        <f t="shared" si="30"/>
        <v>-100.37</v>
      </c>
      <c r="BG31" s="15"/>
      <c r="BH31" s="15">
        <f>I13</f>
        <v>-600</v>
      </c>
      <c r="BI31" s="3">
        <f>+BI30+SUM(BG31:BH31)</f>
        <v>-1600.4</v>
      </c>
      <c r="BK31" s="76"/>
      <c r="BL31" s="76"/>
      <c r="BM31" s="2">
        <f t="shared" si="26"/>
        <v>1600</v>
      </c>
      <c r="BO31" s="15"/>
      <c r="BP31" s="15"/>
      <c r="BQ31" s="2">
        <f t="shared" si="32"/>
        <v>180</v>
      </c>
      <c r="BS31" s="15">
        <f>M26</f>
        <v>648</v>
      </c>
      <c r="BT31" s="15"/>
      <c r="BU31" s="2">
        <f>+BU30+SUM(BS31:BT31)</f>
        <v>648</v>
      </c>
      <c r="BW31" s="29" t="str">
        <f t="shared" si="31"/>
        <v>Interest Expense</v>
      </c>
      <c r="BX31" s="12">
        <f t="shared" si="31"/>
        <v>596</v>
      </c>
      <c r="BY31" s="12"/>
      <c r="CE31" s="91">
        <v>42736</v>
      </c>
      <c r="CF31" s="94"/>
      <c r="CG31" s="97"/>
      <c r="CH31" s="102"/>
      <c r="CI31" s="103"/>
      <c r="CJ31" s="98"/>
      <c r="CK31" s="97"/>
      <c r="CL31" s="104"/>
      <c r="CM31" s="103"/>
      <c r="CN31" s="99">
        <v>1</v>
      </c>
      <c r="CO31" s="101">
        <v>440</v>
      </c>
      <c r="CP31" s="101">
        <f>CN31*CO31</f>
        <v>440</v>
      </c>
      <c r="CR31" s="28" t="s">
        <v>15</v>
      </c>
      <c r="CS31" s="28"/>
      <c r="CT31" s="28">
        <v>0</v>
      </c>
      <c r="CV31" s="28" t="s">
        <v>15</v>
      </c>
      <c r="CW31" s="28"/>
      <c r="CX31" s="28">
        <v>0</v>
      </c>
      <c r="DQ31" s="154">
        <v>23</v>
      </c>
      <c r="DR31" s="138">
        <f t="shared" si="16"/>
        <v>1358.7288223687872</v>
      </c>
      <c r="DS31" s="138">
        <f t="shared" si="17"/>
        <v>198.5836016360461</v>
      </c>
      <c r="DT31" s="138">
        <f t="shared" si="18"/>
        <v>1160.1452207327411</v>
      </c>
      <c r="DU31" s="138">
        <f t="shared" si="19"/>
        <v>46499.919171918329</v>
      </c>
    </row>
    <row r="32" spans="1:161" ht="16.5" thickBot="1" x14ac:dyDescent="0.3">
      <c r="A32" s="64"/>
      <c r="B32" s="117"/>
      <c r="C32" s="4"/>
      <c r="D32" s="4"/>
      <c r="F32" s="46"/>
      <c r="G32" s="4"/>
      <c r="H32" s="4"/>
      <c r="I32" s="4"/>
      <c r="K32" s="46"/>
      <c r="L32" s="4"/>
      <c r="M32" s="4"/>
      <c r="N32" s="4"/>
      <c r="P32" s="46">
        <v>42794</v>
      </c>
      <c r="Q32" s="4" t="s">
        <v>69</v>
      </c>
      <c r="R32" s="4">
        <v>5000</v>
      </c>
      <c r="S32" s="4"/>
      <c r="U32" s="46"/>
      <c r="V32" s="4"/>
      <c r="W32" s="4"/>
      <c r="X32" s="4"/>
      <c r="Z32" s="46"/>
      <c r="AA32" s="4"/>
      <c r="AB32" s="4"/>
      <c r="AC32" s="4"/>
      <c r="AE32" s="46"/>
      <c r="AF32" s="4"/>
      <c r="AG32" s="4"/>
      <c r="AH32" s="4"/>
      <c r="AJ32" s="36" t="s">
        <v>29</v>
      </c>
      <c r="AK32" s="11">
        <f>+BQ38</f>
        <v>0</v>
      </c>
      <c r="AM32" s="15"/>
      <c r="AN32" s="15"/>
      <c r="AO32" s="9">
        <f t="shared" si="13"/>
        <v>99116.799499999994</v>
      </c>
      <c r="AQ32" s="15">
        <f>C17</f>
        <v>168</v>
      </c>
      <c r="AR32" s="15"/>
      <c r="AS32" s="9">
        <f>+AS31+SUM(AQ32:AR32)</f>
        <v>2113</v>
      </c>
      <c r="AT32" s="20"/>
      <c r="AU32" s="15"/>
      <c r="AV32" s="15"/>
      <c r="AW32" s="56">
        <f t="shared" si="28"/>
        <v>4499.5</v>
      </c>
      <c r="AY32" s="24"/>
      <c r="AZ32" s="24"/>
      <c r="BA32" s="75"/>
      <c r="BC32" s="19"/>
      <c r="BD32" s="19"/>
      <c r="BE32" s="19"/>
      <c r="BG32" s="15"/>
      <c r="BH32" s="15">
        <f>I20</f>
        <v>-400</v>
      </c>
      <c r="BI32" s="3">
        <f t="shared" ref="BI32:BI35" si="33">+BI31+SUM(BG32:BH32)</f>
        <v>-2000.4</v>
      </c>
      <c r="BK32" s="76"/>
      <c r="BL32" s="76"/>
      <c r="BM32" s="2">
        <f t="shared" si="26"/>
        <v>1600</v>
      </c>
      <c r="BO32" s="16"/>
      <c r="BP32" s="16"/>
      <c r="BQ32" s="16"/>
      <c r="BS32" s="76"/>
      <c r="BT32" s="76"/>
      <c r="BU32" s="2">
        <f t="shared" ref="BU32:BU33" si="34">+BU31+SUM(BS32:BT32)</f>
        <v>648</v>
      </c>
      <c r="BW32" s="29" t="str">
        <f t="shared" si="31"/>
        <v>Internet Expense</v>
      </c>
      <c r="BX32" s="12">
        <f t="shared" si="31"/>
        <v>180</v>
      </c>
      <c r="BY32" s="12"/>
      <c r="CE32" s="82"/>
      <c r="CF32" s="83"/>
      <c r="CG32" s="84"/>
      <c r="CH32" s="106"/>
      <c r="CI32" s="103"/>
      <c r="CJ32" s="85"/>
      <c r="CK32" s="84"/>
      <c r="CL32" s="107"/>
      <c r="CM32" s="103"/>
      <c r="CN32" s="86"/>
      <c r="CO32" s="105"/>
      <c r="CP32" s="105"/>
      <c r="CR32" s="65"/>
      <c r="CS32" s="65"/>
      <c r="CT32" s="28">
        <f>+CT31+SUM(CR32:CS32)</f>
        <v>0</v>
      </c>
      <c r="CV32" s="65"/>
      <c r="CW32" s="65">
        <f>I27</f>
        <v>-300</v>
      </c>
      <c r="CX32" s="28">
        <f>+CX31+SUM(CV32:CW32)</f>
        <v>-300</v>
      </c>
      <c r="DQ32" s="154">
        <v>24</v>
      </c>
      <c r="DR32" s="138">
        <f t="shared" si="16"/>
        <v>1358.7288223687872</v>
      </c>
      <c r="DS32" s="138">
        <f t="shared" si="17"/>
        <v>193.74966321632635</v>
      </c>
      <c r="DT32" s="138">
        <f t="shared" si="18"/>
        <v>1164.9791591524609</v>
      </c>
      <c r="DU32" s="138">
        <f t="shared" si="19"/>
        <v>45334.940012765866</v>
      </c>
    </row>
    <row r="33" spans="1:133" ht="16.5" thickBot="1" x14ac:dyDescent="0.3">
      <c r="A33" s="64">
        <v>42782</v>
      </c>
      <c r="B33" s="117" t="s">
        <v>101</v>
      </c>
      <c r="C33" s="4">
        <v>250</v>
      </c>
      <c r="D33" s="4"/>
      <c r="F33" s="46"/>
      <c r="G33" s="4"/>
      <c r="H33" s="4"/>
      <c r="I33" s="4"/>
      <c r="K33" s="46"/>
      <c r="L33" s="4"/>
      <c r="M33" s="4"/>
      <c r="N33" s="4"/>
      <c r="P33" s="46"/>
      <c r="Q33" s="116" t="s">
        <v>56</v>
      </c>
      <c r="R33" s="4"/>
      <c r="S33" s="4">
        <f>-R32</f>
        <v>-5000</v>
      </c>
      <c r="U33" s="46"/>
      <c r="V33" s="4"/>
      <c r="W33" s="4"/>
      <c r="X33" s="4"/>
      <c r="Z33" s="46"/>
      <c r="AA33" s="4"/>
      <c r="AB33" s="4"/>
      <c r="AC33" s="4"/>
      <c r="AE33" s="46"/>
      <c r="AF33" s="4"/>
      <c r="AG33" s="4"/>
      <c r="AH33" s="4"/>
      <c r="AJ33" s="36" t="s">
        <v>51</v>
      </c>
      <c r="AK33" s="11">
        <f>+BU10</f>
        <v>0</v>
      </c>
      <c r="AM33" s="15"/>
      <c r="AN33" s="15"/>
      <c r="AO33" s="9">
        <f t="shared" si="13"/>
        <v>99116.799499999994</v>
      </c>
      <c r="AQ33" s="15">
        <f>+C20</f>
        <v>1200</v>
      </c>
      <c r="AR33" s="15"/>
      <c r="AS33" s="56">
        <f>+AS32+SUM(AQ33:AR33)</f>
        <v>3313</v>
      </c>
      <c r="AT33" s="20"/>
      <c r="AY33" s="38" t="str">
        <f>+AJ15</f>
        <v>Interest Payable</v>
      </c>
      <c r="AZ33" s="38"/>
      <c r="BA33" s="39"/>
      <c r="BC33" s="38" t="str">
        <f>+AJ19</f>
        <v>Unearned Revenue</v>
      </c>
      <c r="BD33" s="38"/>
      <c r="BE33" s="39"/>
      <c r="BG33" s="15"/>
      <c r="BH33" s="15"/>
      <c r="BI33" s="3">
        <f t="shared" si="33"/>
        <v>-2000.4</v>
      </c>
      <c r="BK33" s="76"/>
      <c r="BL33" s="76"/>
      <c r="BM33" s="2">
        <f t="shared" si="26"/>
        <v>1600</v>
      </c>
      <c r="BO33" s="48" t="str">
        <f>+AJ32</f>
        <v>Misc. Expense</v>
      </c>
      <c r="BP33" s="49"/>
      <c r="BQ33" s="50"/>
      <c r="BS33" s="15"/>
      <c r="BT33" s="15"/>
      <c r="BU33" s="2">
        <f t="shared" si="34"/>
        <v>648</v>
      </c>
      <c r="BW33" s="29" t="str">
        <f t="shared" si="31"/>
        <v>Misc. Expense</v>
      </c>
      <c r="BX33" s="12">
        <f t="shared" si="31"/>
        <v>0</v>
      </c>
      <c r="BY33" s="12"/>
      <c r="CE33" s="82"/>
      <c r="CF33" s="83"/>
      <c r="CG33" s="84"/>
      <c r="CH33" s="106"/>
      <c r="CI33" s="103"/>
      <c r="CJ33" s="85"/>
      <c r="CK33" s="84"/>
      <c r="CL33" s="107"/>
      <c r="CM33" s="103"/>
      <c r="CN33" s="86"/>
      <c r="CO33" s="105"/>
      <c r="CP33" s="105"/>
      <c r="CR33" s="65"/>
      <c r="CS33" s="65"/>
      <c r="CT33" s="28">
        <f>+CT32+SUM(CR33:CS33)</f>
        <v>0</v>
      </c>
      <c r="CV33" s="65"/>
      <c r="CW33" s="65"/>
      <c r="CX33" s="28">
        <f>+CX32+SUM(CV33:CW33)</f>
        <v>-300</v>
      </c>
      <c r="DQ33" s="154">
        <v>25</v>
      </c>
      <c r="DR33" s="138">
        <f t="shared" si="16"/>
        <v>1358.7288223687872</v>
      </c>
      <c r="DS33" s="138">
        <f t="shared" si="17"/>
        <v>188.89558338652444</v>
      </c>
      <c r="DT33" s="138">
        <f t="shared" si="18"/>
        <v>1169.8332389822626</v>
      </c>
      <c r="DU33" s="138">
        <f t="shared" si="19"/>
        <v>44165.106773783606</v>
      </c>
      <c r="DW33" s="196"/>
      <c r="DX33" s="197"/>
      <c r="DY33" s="197"/>
      <c r="DZ33" s="197"/>
      <c r="EC33" s="197"/>
    </row>
    <row r="34" spans="1:133" ht="16.5" thickBot="1" x14ac:dyDescent="0.3">
      <c r="A34" s="64"/>
      <c r="B34" s="116" t="s">
        <v>1</v>
      </c>
      <c r="C34" s="4"/>
      <c r="D34" s="4">
        <f>-C33</f>
        <v>-250</v>
      </c>
      <c r="F34" s="46"/>
      <c r="G34" s="4"/>
      <c r="H34" s="4"/>
      <c r="I34" s="4"/>
      <c r="K34" s="46"/>
      <c r="L34" s="4"/>
      <c r="M34" s="4"/>
      <c r="N34" s="4"/>
      <c r="P34" s="46"/>
      <c r="Q34" s="4"/>
      <c r="R34" s="4"/>
      <c r="S34" s="4"/>
      <c r="U34" s="46"/>
      <c r="V34" s="4"/>
      <c r="W34" s="4"/>
      <c r="X34" s="4"/>
      <c r="Z34" s="46"/>
      <c r="AA34" s="4"/>
      <c r="AB34" s="4"/>
      <c r="AC34" s="4"/>
      <c r="AE34" s="46"/>
      <c r="AF34" s="4"/>
      <c r="AG34" s="4"/>
      <c r="AH34" s="4"/>
      <c r="AJ34" s="36" t="s">
        <v>52</v>
      </c>
      <c r="AK34" s="11">
        <f>+BU19</f>
        <v>5794.7995000000001</v>
      </c>
      <c r="AM34" s="15"/>
      <c r="AN34" s="15"/>
      <c r="AO34" s="9">
        <f t="shared" si="13"/>
        <v>99116.799499999994</v>
      </c>
      <c r="AQ34" s="15"/>
      <c r="AR34" s="15">
        <f>D28</f>
        <v>-400</v>
      </c>
      <c r="AS34" s="56">
        <f t="shared" ref="AS34:AS41" si="35">+AS33+SUM(AQ34:AR34)</f>
        <v>2913</v>
      </c>
      <c r="AT34" s="20"/>
      <c r="AU34" s="37" t="str">
        <f>+AJ11</f>
        <v>Accumulated Depreciation</v>
      </c>
      <c r="AV34" s="37"/>
      <c r="AW34" s="40"/>
      <c r="AY34" s="18" t="s">
        <v>6</v>
      </c>
      <c r="AZ34" s="18" t="s">
        <v>7</v>
      </c>
      <c r="BA34" s="53" t="s">
        <v>4</v>
      </c>
      <c r="BC34" s="18" t="s">
        <v>6</v>
      </c>
      <c r="BD34" s="18" t="s">
        <v>7</v>
      </c>
      <c r="BE34" s="53" t="s">
        <v>4</v>
      </c>
      <c r="BG34" s="15"/>
      <c r="BH34" s="15"/>
      <c r="BI34" s="3">
        <f t="shared" si="33"/>
        <v>-2000.4</v>
      </c>
      <c r="BK34" s="76"/>
      <c r="BL34" s="76"/>
      <c r="BM34" s="2">
        <f t="shared" si="26"/>
        <v>1600</v>
      </c>
      <c r="BO34" s="54" t="s">
        <v>6</v>
      </c>
      <c r="BP34" s="54" t="s">
        <v>7</v>
      </c>
      <c r="BQ34" s="55" t="s">
        <v>4</v>
      </c>
      <c r="BS34" s="16"/>
      <c r="BT34" s="16"/>
      <c r="BU34" s="16"/>
      <c r="BW34" s="29" t="str">
        <f t="shared" si="31"/>
        <v>Office Supplies</v>
      </c>
      <c r="BX34" s="12">
        <f t="shared" si="31"/>
        <v>0</v>
      </c>
      <c r="BY34" s="12"/>
      <c r="CE34" s="82"/>
      <c r="CF34" s="83"/>
      <c r="CG34" s="84"/>
      <c r="CH34" s="106"/>
      <c r="CI34" s="103"/>
      <c r="CJ34" s="85"/>
      <c r="CK34" s="84"/>
      <c r="CL34" s="107"/>
      <c r="CM34" s="103"/>
      <c r="CN34" s="86"/>
      <c r="CO34" s="105"/>
      <c r="CP34" s="105"/>
      <c r="CR34" s="65"/>
      <c r="CS34" s="65"/>
      <c r="CT34" s="28">
        <f>+CT33+SUM(CR34:CS34)</f>
        <v>0</v>
      </c>
      <c r="CU34" s="19"/>
      <c r="CV34" s="65"/>
      <c r="CW34" s="65"/>
      <c r="CX34" s="28">
        <f>+CX33+SUM(CV34:CW34)</f>
        <v>-300</v>
      </c>
      <c r="DQ34" s="154">
        <v>26</v>
      </c>
      <c r="DR34" s="138">
        <f t="shared" si="16"/>
        <v>1358.7288223687872</v>
      </c>
      <c r="DS34" s="138">
        <f t="shared" si="17"/>
        <v>184.02127822409838</v>
      </c>
      <c r="DT34" s="138">
        <f t="shared" si="18"/>
        <v>1174.7075441446889</v>
      </c>
      <c r="DU34" s="138">
        <f t="shared" si="19"/>
        <v>42990.399229638919</v>
      </c>
    </row>
    <row r="35" spans="1:133" ht="16.5" thickBot="1" x14ac:dyDescent="0.3">
      <c r="A35" s="159"/>
      <c r="B35" s="12"/>
      <c r="C35" s="12"/>
      <c r="D35" s="12"/>
      <c r="F35" s="46"/>
      <c r="G35" s="4"/>
      <c r="H35" s="4"/>
      <c r="I35" s="4"/>
      <c r="K35" s="46"/>
      <c r="L35" s="4"/>
      <c r="M35" s="4"/>
      <c r="N35" s="4"/>
      <c r="P35" s="46"/>
      <c r="Q35" s="4"/>
      <c r="R35" s="4"/>
      <c r="S35" s="4"/>
      <c r="U35" s="46"/>
      <c r="V35" s="4"/>
      <c r="W35" s="4"/>
      <c r="X35" s="4"/>
      <c r="Z35" s="46"/>
      <c r="AA35" s="4"/>
      <c r="AB35" s="4"/>
      <c r="AC35" s="4"/>
      <c r="AE35" s="46"/>
      <c r="AF35" s="4"/>
      <c r="AG35" s="4"/>
      <c r="AH35" s="4"/>
      <c r="AJ35" s="36" t="s">
        <v>53</v>
      </c>
      <c r="AK35" s="11">
        <f>+BU26</f>
        <v>365</v>
      </c>
      <c r="AM35" s="15"/>
      <c r="AN35" s="15"/>
      <c r="AO35" s="9">
        <f t="shared" si="13"/>
        <v>99116.799499999994</v>
      </c>
      <c r="AQ35" s="15"/>
      <c r="AR35" s="15">
        <f>I10</f>
        <v>-400</v>
      </c>
      <c r="AS35" s="56">
        <f t="shared" si="35"/>
        <v>2513</v>
      </c>
      <c r="AT35" s="20"/>
      <c r="AU35" s="18" t="s">
        <v>6</v>
      </c>
      <c r="AV35" s="18" t="s">
        <v>7</v>
      </c>
      <c r="AW35" s="53" t="s">
        <v>4</v>
      </c>
      <c r="AY35" s="41" t="s">
        <v>15</v>
      </c>
      <c r="AZ35" s="9"/>
      <c r="BA35" s="57">
        <f>'Jan Close'!I15</f>
        <v>0</v>
      </c>
      <c r="BC35" s="41" t="s">
        <v>15</v>
      </c>
      <c r="BD35" s="9"/>
      <c r="BE35" s="57">
        <f>'Jan Close'!I19</f>
        <v>0</v>
      </c>
      <c r="BG35" s="15"/>
      <c r="BH35" s="15"/>
      <c r="BI35" s="3">
        <f t="shared" si="33"/>
        <v>-2000.4</v>
      </c>
      <c r="BK35" s="16"/>
      <c r="BL35" s="16"/>
      <c r="BM35" s="16"/>
      <c r="BO35" s="1" t="s">
        <v>15</v>
      </c>
      <c r="BP35" s="2"/>
      <c r="BQ35" s="2">
        <f>+'Jan Close'!I33</f>
        <v>0</v>
      </c>
      <c r="BS35" s="48" t="str">
        <f>+AJ37</f>
        <v>Interest Income</v>
      </c>
      <c r="BT35" s="49"/>
      <c r="BU35" s="50"/>
      <c r="BW35" s="29" t="str">
        <f t="shared" si="31"/>
        <v>Payroll Expenses</v>
      </c>
      <c r="BX35" s="12">
        <f t="shared" si="31"/>
        <v>5794.7995000000001</v>
      </c>
      <c r="BY35" s="12"/>
      <c r="CE35" s="82"/>
      <c r="CF35" s="83"/>
      <c r="CG35" s="84"/>
      <c r="CH35" s="106"/>
      <c r="CI35" s="103"/>
      <c r="CJ35" s="85"/>
      <c r="CK35" s="84"/>
      <c r="CL35" s="107"/>
      <c r="CM35" s="103"/>
      <c r="CN35" s="86"/>
      <c r="CO35" s="105"/>
      <c r="CP35" s="105"/>
      <c r="DQ35" s="154">
        <v>27</v>
      </c>
      <c r="DR35" s="138">
        <f t="shared" si="16"/>
        <v>1358.7288223687872</v>
      </c>
      <c r="DS35" s="138">
        <f t="shared" si="17"/>
        <v>179.12666345682885</v>
      </c>
      <c r="DT35" s="138">
        <f t="shared" si="18"/>
        <v>1179.6021589119582</v>
      </c>
      <c r="DU35" s="138">
        <f t="shared" si="19"/>
        <v>41810.797070726963</v>
      </c>
    </row>
    <row r="36" spans="1:133" ht="16.5" thickBot="1" x14ac:dyDescent="0.3">
      <c r="A36" s="159"/>
      <c r="B36" s="12"/>
      <c r="C36" s="12"/>
      <c r="D36" s="12"/>
      <c r="F36" s="46"/>
      <c r="G36" s="4"/>
      <c r="H36" s="4"/>
      <c r="I36" s="4"/>
      <c r="K36" s="46"/>
      <c r="L36" s="4"/>
      <c r="M36" s="4"/>
      <c r="N36" s="4"/>
      <c r="P36" s="46"/>
      <c r="Q36" s="4"/>
      <c r="R36" s="4"/>
      <c r="S36" s="4"/>
      <c r="U36" s="46"/>
      <c r="V36" s="4"/>
      <c r="W36" s="4"/>
      <c r="X36" s="4"/>
      <c r="Z36" s="46"/>
      <c r="AA36" s="4"/>
      <c r="AB36" s="4"/>
      <c r="AC36" s="4"/>
      <c r="AE36" s="46"/>
      <c r="AF36" s="4"/>
      <c r="AG36" s="4"/>
      <c r="AH36" s="4"/>
      <c r="AJ36" s="36" t="s">
        <v>54</v>
      </c>
      <c r="AK36" s="11">
        <f>+BU33</f>
        <v>648</v>
      </c>
      <c r="AM36" s="15"/>
      <c r="AN36" s="15"/>
      <c r="AO36" s="9">
        <f t="shared" si="13"/>
        <v>99116.799499999994</v>
      </c>
      <c r="AQ36" s="15"/>
      <c r="AR36" s="15">
        <f>I17</f>
        <v>-480</v>
      </c>
      <c r="AS36" s="56">
        <f t="shared" si="35"/>
        <v>2033</v>
      </c>
      <c r="AT36" s="20"/>
      <c r="AU36" s="9" t="s">
        <v>15</v>
      </c>
      <c r="AV36" s="9"/>
      <c r="AW36" s="56">
        <f>'Jan Close'!I11</f>
        <v>0</v>
      </c>
      <c r="AY36" s="15"/>
      <c r="AZ36" s="15"/>
      <c r="BA36" s="57">
        <f>+BA35+SUM(AY36:AZ36)</f>
        <v>0</v>
      </c>
      <c r="BC36" s="15"/>
      <c r="BD36" s="15"/>
      <c r="BE36" s="57">
        <f>+BE35+SUM(BC36:BD36)</f>
        <v>0</v>
      </c>
      <c r="BG36" s="16"/>
      <c r="BH36" s="16"/>
      <c r="BI36" s="16"/>
      <c r="BK36" s="48" t="str">
        <f>+AJ27</f>
        <v>Bank Service Charges</v>
      </c>
      <c r="BL36" s="49"/>
      <c r="BM36" s="50"/>
      <c r="BO36" s="15"/>
      <c r="BP36" s="15"/>
      <c r="BQ36" s="2">
        <f>+BQ35+SUM(BO36:BP36)</f>
        <v>0</v>
      </c>
      <c r="BS36" s="54" t="s">
        <v>6</v>
      </c>
      <c r="BT36" s="54" t="s">
        <v>7</v>
      </c>
      <c r="BU36" s="55" t="s">
        <v>4</v>
      </c>
      <c r="BW36" s="29" t="str">
        <f t="shared" si="31"/>
        <v>Telephone Expense</v>
      </c>
      <c r="BX36" s="12">
        <f t="shared" si="31"/>
        <v>365</v>
      </c>
      <c r="BY36" s="12"/>
      <c r="CE36" s="82"/>
      <c r="CF36" s="83"/>
      <c r="CG36" s="84"/>
      <c r="CH36" s="106"/>
      <c r="CI36" s="103"/>
      <c r="CJ36" s="85"/>
      <c r="CK36" s="84"/>
      <c r="CL36" s="107"/>
      <c r="CM36" s="103"/>
      <c r="CN36" s="86"/>
      <c r="CO36" s="105"/>
      <c r="CP36" s="105"/>
      <c r="CR36" s="130" t="s">
        <v>107</v>
      </c>
      <c r="CS36" s="131"/>
      <c r="CT36" s="132"/>
      <c r="CV36" s="37" t="s">
        <v>146</v>
      </c>
      <c r="CW36" s="120"/>
      <c r="CX36" s="121"/>
      <c r="DQ36" s="154">
        <v>28</v>
      </c>
      <c r="DR36" s="138">
        <f t="shared" si="16"/>
        <v>1358.7288223687872</v>
      </c>
      <c r="DS36" s="138">
        <f t="shared" si="17"/>
        <v>174.21165446136237</v>
      </c>
      <c r="DT36" s="138">
        <f t="shared" si="18"/>
        <v>1184.5171679074249</v>
      </c>
      <c r="DU36" s="138">
        <f t="shared" si="19"/>
        <v>40626.279902819537</v>
      </c>
    </row>
    <row r="37" spans="1:133" ht="16.149999999999999" customHeight="1" thickBot="1" x14ac:dyDescent="0.3">
      <c r="A37" s="159"/>
      <c r="B37" s="12"/>
      <c r="C37" s="12"/>
      <c r="D37" s="12"/>
      <c r="F37" s="46"/>
      <c r="G37" s="4"/>
      <c r="H37" s="4"/>
      <c r="I37" s="4"/>
      <c r="K37" s="46"/>
      <c r="L37" s="4"/>
      <c r="M37" s="4"/>
      <c r="N37" s="4"/>
      <c r="P37" s="46"/>
      <c r="Q37" s="4"/>
      <c r="R37" s="4"/>
      <c r="S37" s="4"/>
      <c r="U37" s="46"/>
      <c r="V37" s="4"/>
      <c r="W37" s="4"/>
      <c r="X37" s="4"/>
      <c r="Z37" s="46"/>
      <c r="AA37" s="4"/>
      <c r="AB37" s="4"/>
      <c r="AC37" s="4"/>
      <c r="AE37" s="46"/>
      <c r="AF37" s="4"/>
      <c r="AG37" s="4"/>
      <c r="AH37" s="4"/>
      <c r="AJ37" s="36" t="s">
        <v>55</v>
      </c>
      <c r="AK37" s="11">
        <f>+BU40</f>
        <v>-250</v>
      </c>
      <c r="AM37" s="15"/>
      <c r="AN37" s="15"/>
      <c r="AO37" s="9">
        <f t="shared" si="13"/>
        <v>99116.799499999994</v>
      </c>
      <c r="AQ37" s="15">
        <f>I24</f>
        <v>-320</v>
      </c>
      <c r="AR37" s="15"/>
      <c r="AS37" s="56">
        <f t="shared" si="35"/>
        <v>1713</v>
      </c>
      <c r="AT37" s="20"/>
      <c r="AU37" s="15"/>
      <c r="AV37" s="15"/>
      <c r="AW37" s="56">
        <f>+AW36+SUM(AU37:AV37)</f>
        <v>0</v>
      </c>
      <c r="AY37" s="15"/>
      <c r="AZ37" s="15"/>
      <c r="BA37" s="57">
        <f t="shared" ref="BA37:BA39" si="36">+BA36+SUM(AY37:AZ37)</f>
        <v>0</v>
      </c>
      <c r="BC37" s="15"/>
      <c r="BD37" s="15"/>
      <c r="BE37" s="57">
        <f t="shared" ref="BE37" si="37">+BE36+SUM(BC37:BD37)</f>
        <v>0</v>
      </c>
      <c r="BG37" s="48" t="str">
        <f>+AJ24</f>
        <v>Rent Music Equipment</v>
      </c>
      <c r="BH37" s="49"/>
      <c r="BI37" s="50"/>
      <c r="BK37" s="54" t="s">
        <v>6</v>
      </c>
      <c r="BL37" s="54" t="s">
        <v>7</v>
      </c>
      <c r="BM37" s="55" t="s">
        <v>4</v>
      </c>
      <c r="BO37" s="76"/>
      <c r="BP37" s="76"/>
      <c r="BQ37" s="2">
        <f t="shared" ref="BQ37:BQ38" si="38">+BQ36+SUM(BO37:BP37)</f>
        <v>0</v>
      </c>
      <c r="BS37" s="1" t="s">
        <v>15</v>
      </c>
      <c r="BT37" s="2"/>
      <c r="BU37" s="2">
        <f>+'Jan Close'!I38</f>
        <v>0</v>
      </c>
      <c r="BW37" s="29" t="str">
        <f t="shared" si="31"/>
        <v>Utilities</v>
      </c>
      <c r="BX37" s="12">
        <f t="shared" si="31"/>
        <v>648</v>
      </c>
      <c r="BY37" s="12"/>
      <c r="CE37" s="82"/>
      <c r="CF37" s="87"/>
      <c r="CG37" s="88"/>
      <c r="CH37" s="108"/>
      <c r="CI37" s="103"/>
      <c r="CJ37" s="89"/>
      <c r="CK37" s="115"/>
      <c r="CL37" s="109"/>
      <c r="CM37" s="103"/>
      <c r="CN37" s="90"/>
      <c r="CO37" s="110"/>
      <c r="CP37" s="110"/>
      <c r="CR37" s="122" t="s">
        <v>6</v>
      </c>
      <c r="CS37" s="123" t="s">
        <v>7</v>
      </c>
      <c r="CT37" s="124" t="s">
        <v>4</v>
      </c>
      <c r="CV37" s="122" t="s">
        <v>6</v>
      </c>
      <c r="CW37" s="123" t="s">
        <v>7</v>
      </c>
      <c r="CX37" s="124" t="s">
        <v>4</v>
      </c>
      <c r="DQ37" s="154">
        <v>29</v>
      </c>
      <c r="DR37" s="138">
        <f t="shared" si="16"/>
        <v>1358.7288223687872</v>
      </c>
      <c r="DS37" s="138">
        <f t="shared" si="17"/>
        <v>169.27616626174807</v>
      </c>
      <c r="DT37" s="138">
        <f t="shared" si="18"/>
        <v>1189.452656107039</v>
      </c>
      <c r="DU37" s="138">
        <f t="shared" si="19"/>
        <v>39436.827246712499</v>
      </c>
    </row>
    <row r="38" spans="1:133" ht="16.5" thickBot="1" x14ac:dyDescent="0.3">
      <c r="A38" s="159"/>
      <c r="B38" s="12"/>
      <c r="C38" s="12"/>
      <c r="D38" s="12"/>
      <c r="F38" s="46"/>
      <c r="G38" s="4"/>
      <c r="H38" s="4"/>
      <c r="I38" s="4"/>
      <c r="K38" s="46"/>
      <c r="L38" s="4"/>
      <c r="M38" s="4"/>
      <c r="N38" s="4"/>
      <c r="P38" s="46"/>
      <c r="Q38" s="4"/>
      <c r="R38" s="4"/>
      <c r="S38" s="4"/>
      <c r="U38" s="46"/>
      <c r="V38" s="4"/>
      <c r="W38" s="4"/>
      <c r="X38" s="4"/>
      <c r="Z38" s="46"/>
      <c r="AA38" s="4"/>
      <c r="AB38" s="4"/>
      <c r="AC38" s="4"/>
      <c r="AE38" s="46"/>
      <c r="AF38" s="4"/>
      <c r="AG38" s="4"/>
      <c r="AH38" s="4"/>
      <c r="AJ38" s="13" t="s">
        <v>28</v>
      </c>
      <c r="AK38" s="10">
        <f>+SUM(AK5:AK37)</f>
        <v>9.0949470177292824E-13</v>
      </c>
      <c r="AQ38" s="15"/>
      <c r="AR38" s="15"/>
      <c r="AS38" s="56">
        <f t="shared" si="35"/>
        <v>1713</v>
      </c>
      <c r="AT38" s="20"/>
      <c r="AU38" s="15"/>
      <c r="AV38" s="15"/>
      <c r="AW38" s="56">
        <f>+AW37+SUM(AU38:AV38)</f>
        <v>0</v>
      </c>
      <c r="AY38" s="15"/>
      <c r="AZ38" s="15"/>
      <c r="BA38" s="57">
        <f t="shared" si="36"/>
        <v>0</v>
      </c>
      <c r="BC38" s="16"/>
      <c r="BD38" s="16"/>
      <c r="BE38" s="16"/>
      <c r="BG38" s="18" t="s">
        <v>6</v>
      </c>
      <c r="BH38" s="18" t="s">
        <v>7</v>
      </c>
      <c r="BI38" s="53" t="s">
        <v>4</v>
      </c>
      <c r="BK38" s="1" t="s">
        <v>15</v>
      </c>
      <c r="BL38" s="2"/>
      <c r="BM38" s="2">
        <f>'Jan Close'!I28</f>
        <v>0</v>
      </c>
      <c r="BO38" s="15"/>
      <c r="BP38" s="15"/>
      <c r="BQ38" s="2">
        <f t="shared" si="38"/>
        <v>0</v>
      </c>
      <c r="BS38" s="15"/>
      <c r="BT38" s="15">
        <f>D15</f>
        <v>-250</v>
      </c>
      <c r="BU38" s="2">
        <f>+BU37+SUM(BS38:BT38)</f>
        <v>-250</v>
      </c>
      <c r="BW38" s="30" t="s">
        <v>24</v>
      </c>
      <c r="BX38" s="12"/>
      <c r="BY38" s="31">
        <f>SUM(BX28:BX37)</f>
        <v>7583.7995000000001</v>
      </c>
      <c r="CH38" s="111"/>
      <c r="CI38" s="111"/>
      <c r="CL38" s="111"/>
      <c r="CM38" s="111"/>
      <c r="CP38" s="111"/>
      <c r="CR38" s="28" t="s">
        <v>15</v>
      </c>
      <c r="CS38" s="28"/>
      <c r="CT38" s="28">
        <v>0</v>
      </c>
      <c r="CV38" s="28" t="s">
        <v>15</v>
      </c>
      <c r="CW38" s="28"/>
      <c r="CX38" s="28">
        <v>0</v>
      </c>
      <c r="DQ38" s="154">
        <v>30</v>
      </c>
      <c r="DR38" s="138">
        <f t="shared" si="16"/>
        <v>1358.7288223687872</v>
      </c>
      <c r="DS38" s="138">
        <f t="shared" si="17"/>
        <v>164.32011352796874</v>
      </c>
      <c r="DT38" s="138">
        <f t="shared" si="18"/>
        <v>1194.4087088408185</v>
      </c>
      <c r="DU38" s="138">
        <f t="shared" si="19"/>
        <v>38242.418537871679</v>
      </c>
    </row>
    <row r="39" spans="1:133" ht="17.25" customHeight="1" thickTop="1" thickBot="1" x14ac:dyDescent="0.3">
      <c r="A39" s="159"/>
      <c r="B39" s="12"/>
      <c r="C39" s="12"/>
      <c r="D39" s="12"/>
      <c r="F39" s="46"/>
      <c r="G39" s="4"/>
      <c r="H39" s="4"/>
      <c r="I39" s="4"/>
      <c r="K39" s="46"/>
      <c r="L39" s="4"/>
      <c r="M39" s="4"/>
      <c r="N39" s="4"/>
      <c r="P39" s="46"/>
      <c r="Q39" s="4"/>
      <c r="R39" s="4"/>
      <c r="S39" s="4"/>
      <c r="U39" s="46"/>
      <c r="V39" s="4"/>
      <c r="W39" s="4"/>
      <c r="X39" s="4"/>
      <c r="Z39" s="46"/>
      <c r="AA39" s="4"/>
      <c r="AB39" s="4"/>
      <c r="AC39" s="4"/>
      <c r="AE39" s="46"/>
      <c r="AF39" s="4"/>
      <c r="AG39" s="4"/>
      <c r="AH39" s="4"/>
      <c r="AJ39" s="67" t="s">
        <v>8</v>
      </c>
      <c r="AK39" s="3">
        <f>SUM(AK23:AK37)</f>
        <v>-6866.6004999999996</v>
      </c>
      <c r="AQ39" s="15"/>
      <c r="AR39" s="15"/>
      <c r="AS39" s="56">
        <f t="shared" si="35"/>
        <v>1713</v>
      </c>
      <c r="AT39" s="20"/>
      <c r="AU39" s="15"/>
      <c r="AV39" s="15"/>
      <c r="AW39" s="56">
        <f>+AW38+SUM(AU39:AV39)</f>
        <v>0</v>
      </c>
      <c r="AY39" s="15"/>
      <c r="AZ39" s="15"/>
      <c r="BA39" s="57">
        <f t="shared" si="36"/>
        <v>0</v>
      </c>
      <c r="BG39" s="58" t="s">
        <v>15</v>
      </c>
      <c r="BH39" s="9"/>
      <c r="BI39" s="3">
        <f>'Jan Close'!I25</f>
        <v>0</v>
      </c>
      <c r="BK39" s="15"/>
      <c r="BL39" s="15"/>
      <c r="BM39" s="2">
        <f>+BM38+SUM(BK39:BL39)</f>
        <v>0</v>
      </c>
      <c r="BO39" s="16"/>
      <c r="BP39" s="16"/>
      <c r="BQ39" s="16"/>
      <c r="BS39" s="76"/>
      <c r="BT39" s="76"/>
      <c r="BU39" s="2">
        <f t="shared" ref="BU39:BU40" si="39">+BU38+SUM(BS39:BT39)</f>
        <v>-250</v>
      </c>
      <c r="BW39" s="12" t="s">
        <v>74</v>
      </c>
      <c r="BX39" s="12"/>
      <c r="BY39" s="12">
        <f>+BY26-BY38</f>
        <v>6616.6004999999996</v>
      </c>
      <c r="CE39" s="100" t="s">
        <v>91</v>
      </c>
      <c r="CF39" s="254" t="s">
        <v>81</v>
      </c>
      <c r="CG39" s="255"/>
      <c r="CH39" s="256"/>
      <c r="CI39" s="103"/>
      <c r="CJ39" s="257" t="s">
        <v>82</v>
      </c>
      <c r="CK39" s="258"/>
      <c r="CL39" s="259"/>
      <c r="CM39" s="103"/>
      <c r="CN39" s="260" t="s">
        <v>83</v>
      </c>
      <c r="CO39" s="261"/>
      <c r="CP39" s="262"/>
      <c r="CR39" s="65"/>
      <c r="CS39" s="65"/>
      <c r="CT39" s="28">
        <f>+CT38+SUM(CR39:CS39)</f>
        <v>0</v>
      </c>
      <c r="CV39" s="65">
        <f>R5</f>
        <v>950</v>
      </c>
      <c r="CW39" s="65"/>
      <c r="CX39" s="28">
        <f>+CX38+SUM(CV39:CW39)</f>
        <v>950</v>
      </c>
      <c r="DQ39" s="154">
        <v>31</v>
      </c>
      <c r="DR39" s="138">
        <f t="shared" si="16"/>
        <v>1358.7288223687872</v>
      </c>
      <c r="DS39" s="138">
        <f t="shared" si="17"/>
        <v>159.34341057446534</v>
      </c>
      <c r="DT39" s="138">
        <f t="shared" si="18"/>
        <v>1199.385411794322</v>
      </c>
      <c r="DU39" s="138">
        <f t="shared" si="19"/>
        <v>37043.03312607736</v>
      </c>
    </row>
    <row r="40" spans="1:133" ht="15.75" x14ac:dyDescent="0.25">
      <c r="AJ40" s="16"/>
      <c r="AK40" s="16"/>
      <c r="AQ40" s="15"/>
      <c r="AR40" s="15"/>
      <c r="AS40" s="56">
        <f t="shared" si="35"/>
        <v>1713</v>
      </c>
      <c r="AT40" s="20"/>
      <c r="AU40" s="16"/>
      <c r="AV40" s="16"/>
      <c r="AW40" s="16"/>
      <c r="BG40" s="15"/>
      <c r="BH40" s="15">
        <f>X13</f>
        <v>-4500</v>
      </c>
      <c r="BI40" s="3">
        <f>+BI39+SUM(BG40:BH40)</f>
        <v>-4500</v>
      </c>
      <c r="BK40" s="76"/>
      <c r="BL40" s="76"/>
      <c r="BM40" s="2">
        <f t="shared" ref="BM40:BM41" si="40">+BM39+SUM(BK40:BL40)</f>
        <v>0</v>
      </c>
      <c r="BO40" s="16"/>
      <c r="BP40" s="16"/>
      <c r="BQ40" s="16"/>
      <c r="BS40" s="15"/>
      <c r="BT40" s="15"/>
      <c r="BU40" s="2">
        <f t="shared" si="39"/>
        <v>-250</v>
      </c>
      <c r="BW40" s="12" t="s">
        <v>124</v>
      </c>
      <c r="BX40" s="12"/>
      <c r="BY40" s="12"/>
      <c r="CE40" s="92"/>
      <c r="CF40" s="95"/>
      <c r="CG40" s="95" t="s">
        <v>84</v>
      </c>
      <c r="CH40" s="112" t="s">
        <v>85</v>
      </c>
      <c r="CI40" s="103"/>
      <c r="CJ40" s="95"/>
      <c r="CK40" s="95" t="s">
        <v>84</v>
      </c>
      <c r="CL40" s="112" t="s">
        <v>85</v>
      </c>
      <c r="CM40" s="103"/>
      <c r="CN40" s="95"/>
      <c r="CO40" s="112" t="s">
        <v>84</v>
      </c>
      <c r="CP40" s="112" t="s">
        <v>85</v>
      </c>
      <c r="CR40" s="65"/>
      <c r="CS40" s="65"/>
      <c r="CT40" s="28">
        <f>+CT39+SUM(CR40:CS40)</f>
        <v>0</v>
      </c>
      <c r="CV40" s="65"/>
      <c r="CW40" s="65"/>
      <c r="CX40" s="28">
        <f>+CX39+SUM(CV40:CW40)</f>
        <v>950</v>
      </c>
      <c r="DQ40" s="154">
        <v>32</v>
      </c>
      <c r="DR40" s="138">
        <f t="shared" si="16"/>
        <v>1358.7288223687872</v>
      </c>
      <c r="DS40" s="138">
        <f t="shared" si="17"/>
        <v>154.34597135865567</v>
      </c>
      <c r="DT40" s="138">
        <f t="shared" si="18"/>
        <v>1204.3828510101316</v>
      </c>
      <c r="DU40" s="138">
        <f t="shared" si="19"/>
        <v>35838.65027506723</v>
      </c>
    </row>
    <row r="41" spans="1:133" ht="16.5" thickBot="1" x14ac:dyDescent="0.3">
      <c r="AJ41" s="16"/>
      <c r="AK41" s="16"/>
      <c r="AQ41" s="15"/>
      <c r="AR41" s="15"/>
      <c r="AS41" s="56">
        <f t="shared" si="35"/>
        <v>1713</v>
      </c>
      <c r="AT41" s="20"/>
      <c r="BG41" s="22"/>
      <c r="BH41" s="22"/>
      <c r="BI41" s="22"/>
      <c r="BK41" s="15"/>
      <c r="BL41" s="15"/>
      <c r="BM41" s="2">
        <f t="shared" si="40"/>
        <v>0</v>
      </c>
      <c r="BO41" s="16"/>
      <c r="BP41" s="16"/>
      <c r="BQ41" s="16"/>
      <c r="BS41" s="16"/>
      <c r="BT41" s="16"/>
      <c r="BU41" s="16"/>
      <c r="BW41" s="29" t="str">
        <f>+AJ37</f>
        <v>Interest Income</v>
      </c>
      <c r="BX41" s="12"/>
      <c r="BY41" s="31">
        <f>-AK37</f>
        <v>250</v>
      </c>
      <c r="CE41" s="93" t="s">
        <v>27</v>
      </c>
      <c r="CF41" s="96" t="s">
        <v>86</v>
      </c>
      <c r="CG41" s="96" t="s">
        <v>87</v>
      </c>
      <c r="CH41" s="113" t="s">
        <v>87</v>
      </c>
      <c r="CI41" s="103"/>
      <c r="CJ41" s="96" t="s">
        <v>86</v>
      </c>
      <c r="CK41" s="96" t="s">
        <v>87</v>
      </c>
      <c r="CL41" s="113" t="s">
        <v>87</v>
      </c>
      <c r="CM41" s="103"/>
      <c r="CN41" s="96" t="s">
        <v>86</v>
      </c>
      <c r="CO41" s="113" t="s">
        <v>87</v>
      </c>
      <c r="CP41" s="113" t="s">
        <v>87</v>
      </c>
      <c r="CR41" s="65"/>
      <c r="CS41" s="65"/>
      <c r="CT41" s="28">
        <f>+CT40+SUM(CR41:CS41)</f>
        <v>0</v>
      </c>
      <c r="CV41" s="65"/>
      <c r="CW41" s="65"/>
      <c r="CX41" s="28">
        <f>+CX40+SUM(CV41:CW41)</f>
        <v>950</v>
      </c>
      <c r="DQ41" s="154">
        <v>33</v>
      </c>
      <c r="DR41" s="138">
        <f t="shared" si="16"/>
        <v>1358.7288223687872</v>
      </c>
      <c r="DS41" s="138">
        <f t="shared" si="17"/>
        <v>149.32770947944678</v>
      </c>
      <c r="DT41" s="138">
        <f t="shared" si="18"/>
        <v>1209.4011128893403</v>
      </c>
      <c r="DU41" s="138">
        <f t="shared" si="19"/>
        <v>34629.24916217789</v>
      </c>
    </row>
    <row r="42" spans="1:133" ht="16.5" thickBot="1" x14ac:dyDescent="0.3">
      <c r="AT42" s="20"/>
      <c r="BG42" s="51"/>
      <c r="BH42" s="23"/>
      <c r="BI42" s="52"/>
      <c r="BO42" s="16"/>
      <c r="BP42" s="16"/>
      <c r="BQ42" s="16"/>
      <c r="BS42" s="16"/>
      <c r="BT42" s="16"/>
      <c r="BU42" s="16"/>
      <c r="BW42" s="12" t="s">
        <v>75</v>
      </c>
      <c r="BX42" s="12"/>
      <c r="BY42" s="143">
        <f>+SUM(BY39:BY41)</f>
        <v>6866.6004999999996</v>
      </c>
      <c r="CE42" s="91">
        <v>42736</v>
      </c>
      <c r="CF42" s="94"/>
      <c r="CG42" s="97"/>
      <c r="CH42" s="102"/>
      <c r="CI42" s="103"/>
      <c r="CJ42" s="98"/>
      <c r="CK42" s="97"/>
      <c r="CL42" s="104"/>
      <c r="CM42" s="103"/>
      <c r="CN42" s="99">
        <v>1</v>
      </c>
      <c r="CO42" s="101">
        <v>328</v>
      </c>
      <c r="CP42" s="101">
        <f>CN42*CO42</f>
        <v>328</v>
      </c>
      <c r="DQ42" s="154">
        <v>34</v>
      </c>
      <c r="DR42" s="138">
        <f t="shared" si="16"/>
        <v>1358.7288223687872</v>
      </c>
      <c r="DS42" s="138">
        <f t="shared" si="17"/>
        <v>144.28853817574122</v>
      </c>
      <c r="DT42" s="138">
        <f t="shared" si="18"/>
        <v>1214.440284193046</v>
      </c>
      <c r="DU42" s="138">
        <f t="shared" si="19"/>
        <v>33414.808877984848</v>
      </c>
    </row>
    <row r="43" spans="1:133" ht="16.5" thickBot="1" x14ac:dyDescent="0.3">
      <c r="AT43" s="20"/>
      <c r="BG43" s="24"/>
      <c r="BH43" s="24"/>
      <c r="BI43" s="52"/>
      <c r="BO43" s="16"/>
      <c r="BP43" s="16"/>
      <c r="BQ43" s="16"/>
      <c r="BS43" s="16"/>
      <c r="BT43" s="16"/>
      <c r="BU43" s="16"/>
      <c r="CE43" s="82"/>
      <c r="CF43" s="83"/>
      <c r="CG43" s="84"/>
      <c r="CH43" s="106"/>
      <c r="CI43" s="103"/>
      <c r="CJ43" s="85">
        <v>1</v>
      </c>
      <c r="CK43" s="84">
        <v>328</v>
      </c>
      <c r="CL43" s="107">
        <f>CJ43*CK43</f>
        <v>328</v>
      </c>
      <c r="CM43" s="103"/>
      <c r="CN43" s="86">
        <f>CN42-CJ43</f>
        <v>0</v>
      </c>
      <c r="CO43" s="105">
        <f>+CO42</f>
        <v>328</v>
      </c>
      <c r="CP43" s="105">
        <f>CN43*CO43</f>
        <v>0</v>
      </c>
      <c r="CR43" s="37" t="s">
        <v>147</v>
      </c>
      <c r="CS43" s="120"/>
      <c r="CT43" s="121"/>
      <c r="CV43" s="37" t="s">
        <v>148</v>
      </c>
      <c r="CW43" s="120"/>
      <c r="CX43" s="121"/>
      <c r="DQ43" s="154">
        <v>35</v>
      </c>
      <c r="DR43" s="138">
        <f t="shared" si="16"/>
        <v>1358.7288223687872</v>
      </c>
      <c r="DS43" s="138">
        <f t="shared" si="17"/>
        <v>139.22837032493689</v>
      </c>
      <c r="DT43" s="138">
        <f t="shared" si="18"/>
        <v>1219.5004520438504</v>
      </c>
      <c r="DU43" s="138">
        <f t="shared" si="19"/>
        <v>32195.308425940999</v>
      </c>
    </row>
    <row r="44" spans="1:133" ht="19.5" thickBot="1" x14ac:dyDescent="0.35">
      <c r="AT44" s="20"/>
      <c r="BG44" s="24"/>
      <c r="BH44" s="24"/>
      <c r="BI44" s="52"/>
      <c r="BO44" s="16"/>
      <c r="BP44" s="16"/>
      <c r="BQ44" s="16"/>
      <c r="BS44" s="16"/>
      <c r="BT44" s="16"/>
      <c r="BU44" s="16"/>
      <c r="BW44" s="80" t="s">
        <v>25</v>
      </c>
      <c r="BX44" s="80"/>
      <c r="BY44" s="80"/>
      <c r="CE44" s="82"/>
      <c r="CF44" s="83"/>
      <c r="CG44" s="84"/>
      <c r="CH44" s="106"/>
      <c r="CI44" s="103"/>
      <c r="CJ44" s="85"/>
      <c r="CK44" s="84"/>
      <c r="CL44" s="107"/>
      <c r="CM44" s="103"/>
      <c r="CN44" s="86"/>
      <c r="CO44" s="105"/>
      <c r="CP44" s="105"/>
      <c r="CR44" s="122" t="s">
        <v>6</v>
      </c>
      <c r="CS44" s="123" t="s">
        <v>7</v>
      </c>
      <c r="CT44" s="124" t="s">
        <v>4</v>
      </c>
      <c r="CV44" s="122" t="s">
        <v>6</v>
      </c>
      <c r="CW44" s="123" t="s">
        <v>7</v>
      </c>
      <c r="CX44" s="124" t="s">
        <v>4</v>
      </c>
      <c r="DQ44" s="154">
        <v>36</v>
      </c>
      <c r="DR44" s="138">
        <f t="shared" si="16"/>
        <v>1358.7288223687872</v>
      </c>
      <c r="DS44" s="138">
        <f t="shared" si="17"/>
        <v>134.14711844142084</v>
      </c>
      <c r="DT44" s="138">
        <f t="shared" si="18"/>
        <v>1224.5817039273663</v>
      </c>
      <c r="DU44" s="138">
        <f t="shared" si="19"/>
        <v>30970.726722013631</v>
      </c>
    </row>
    <row r="45" spans="1:133" x14ac:dyDescent="0.25">
      <c r="AT45" s="20"/>
      <c r="BC45" s="16"/>
      <c r="BD45" s="16"/>
      <c r="BE45" s="16"/>
      <c r="BG45" s="25"/>
      <c r="BH45" s="25"/>
      <c r="BI45" s="25"/>
      <c r="BW45" s="12" t="s">
        <v>76</v>
      </c>
      <c r="BX45" s="12"/>
      <c r="BY45" s="12">
        <f>-AK22-BX46</f>
        <v>144080</v>
      </c>
      <c r="CE45" s="82"/>
      <c r="CF45" s="83"/>
      <c r="CG45" s="84"/>
      <c r="CH45" s="106"/>
      <c r="CI45" s="103"/>
      <c r="CJ45" s="85"/>
      <c r="CK45" s="84"/>
      <c r="CL45" s="107"/>
      <c r="CM45" s="103"/>
      <c r="CN45" s="86"/>
      <c r="CO45" s="105"/>
      <c r="CP45" s="105"/>
      <c r="CR45" s="28" t="s">
        <v>15</v>
      </c>
      <c r="CS45" s="28"/>
      <c r="CT45" s="28">
        <v>0</v>
      </c>
      <c r="CV45" s="28" t="s">
        <v>15</v>
      </c>
      <c r="CW45" s="28"/>
      <c r="CX45" s="28">
        <v>0</v>
      </c>
      <c r="DQ45" s="154">
        <v>37</v>
      </c>
      <c r="DR45" s="138">
        <f t="shared" si="16"/>
        <v>1358.7288223687872</v>
      </c>
      <c r="DS45" s="138">
        <f t="shared" si="17"/>
        <v>129.0446946750568</v>
      </c>
      <c r="DT45" s="138">
        <f t="shared" si="18"/>
        <v>1229.6841276937303</v>
      </c>
      <c r="DU45" s="138">
        <f t="shared" si="19"/>
        <v>29741.042594319901</v>
      </c>
    </row>
    <row r="46" spans="1:133" x14ac:dyDescent="0.25">
      <c r="AQ46" s="26"/>
      <c r="AR46" s="26"/>
      <c r="AS46" s="26"/>
      <c r="BG46" s="21"/>
      <c r="BH46" s="21"/>
      <c r="BI46" s="21"/>
      <c r="BW46" s="12" t="s">
        <v>78</v>
      </c>
      <c r="BX46" s="12">
        <v>0</v>
      </c>
      <c r="BY46" s="12"/>
      <c r="CE46" s="82"/>
      <c r="CF46" s="83"/>
      <c r="CG46" s="84"/>
      <c r="CH46" s="106"/>
      <c r="CI46" s="103"/>
      <c r="CJ46" s="85"/>
      <c r="CK46" s="84"/>
      <c r="CL46" s="107"/>
      <c r="CM46" s="103"/>
      <c r="CN46" s="86"/>
      <c r="CO46" s="105"/>
      <c r="CP46" s="105"/>
      <c r="CR46" s="65">
        <f>R8</f>
        <v>950</v>
      </c>
      <c r="CS46" s="65"/>
      <c r="CT46" s="28">
        <f>+CT45+SUM(CR46:CS46)</f>
        <v>950</v>
      </c>
      <c r="CV46" s="65">
        <f>R11</f>
        <v>1900</v>
      </c>
      <c r="CW46" s="65"/>
      <c r="CX46" s="28">
        <f>+CX45+SUM(CV46:CW46)</f>
        <v>1900</v>
      </c>
      <c r="DQ46" s="154">
        <v>38</v>
      </c>
      <c r="DR46" s="138">
        <f t="shared" si="16"/>
        <v>1358.7288223687872</v>
      </c>
      <c r="DS46" s="138">
        <f t="shared" si="17"/>
        <v>123.92101080966626</v>
      </c>
      <c r="DT46" s="138">
        <f t="shared" si="18"/>
        <v>1234.8078115591209</v>
      </c>
      <c r="DU46" s="138">
        <f t="shared" si="19"/>
        <v>28506.234782760781</v>
      </c>
    </row>
    <row r="47" spans="1:133" x14ac:dyDescent="0.25">
      <c r="AP47" s="26"/>
      <c r="AQ47" s="26"/>
      <c r="AR47" s="26"/>
      <c r="AS47" s="26"/>
      <c r="AT47" s="26"/>
      <c r="AX47" s="16"/>
      <c r="BG47" s="22"/>
      <c r="BH47" s="22"/>
      <c r="BI47" s="22"/>
      <c r="BW47" s="12" t="s">
        <v>75</v>
      </c>
      <c r="BX47" s="142">
        <f>BY42</f>
        <v>6866.6004999999996</v>
      </c>
      <c r="BY47" s="12"/>
      <c r="CE47" s="82"/>
      <c r="CF47" s="83"/>
      <c r="CG47" s="84"/>
      <c r="CH47" s="106"/>
      <c r="CI47" s="103"/>
      <c r="CJ47" s="85"/>
      <c r="CK47" s="84"/>
      <c r="CL47" s="107"/>
      <c r="CM47" s="103"/>
      <c r="CN47" s="86"/>
      <c r="CO47" s="105"/>
      <c r="CP47" s="105"/>
      <c r="CR47" s="65"/>
      <c r="CS47" s="65"/>
      <c r="CT47" s="28">
        <f>+CT46+SUM(CR47:CS47)</f>
        <v>950</v>
      </c>
      <c r="CV47" s="65"/>
      <c r="CW47" s="65"/>
      <c r="CX47" s="28">
        <f>+CX46+SUM(CV47:CW47)</f>
        <v>1900</v>
      </c>
      <c r="DQ47" s="154">
        <v>39</v>
      </c>
      <c r="DR47" s="138">
        <f t="shared" si="16"/>
        <v>1358.7288223687872</v>
      </c>
      <c r="DS47" s="138">
        <f t="shared" si="17"/>
        <v>118.77597826150327</v>
      </c>
      <c r="DT47" s="138">
        <f t="shared" si="18"/>
        <v>1239.9528441072839</v>
      </c>
      <c r="DU47" s="138">
        <f t="shared" si="19"/>
        <v>27266.281938653497</v>
      </c>
    </row>
    <row r="48" spans="1:133" ht="15.75" x14ac:dyDescent="0.25">
      <c r="AP48" s="26"/>
      <c r="AT48" s="26"/>
      <c r="AX48" s="16"/>
      <c r="BG48" s="51"/>
      <c r="BH48" s="23"/>
      <c r="BI48" s="52"/>
      <c r="BW48" s="12" t="s">
        <v>26</v>
      </c>
      <c r="BX48" s="31">
        <f>-AK21</f>
        <v>0</v>
      </c>
      <c r="BY48" s="12"/>
      <c r="CE48" s="82"/>
      <c r="CF48" s="83"/>
      <c r="CG48" s="84"/>
      <c r="CH48" s="106"/>
      <c r="CI48" s="103"/>
      <c r="CJ48" s="85"/>
      <c r="CK48" s="84"/>
      <c r="CL48" s="107"/>
      <c r="CM48" s="103"/>
      <c r="CN48" s="86"/>
      <c r="CO48" s="105"/>
      <c r="CP48" s="105"/>
      <c r="CR48" s="65"/>
      <c r="CS48" s="65"/>
      <c r="CT48" s="28">
        <f>+CT47+SUM(CR48:CS48)</f>
        <v>950</v>
      </c>
      <c r="CV48" s="65"/>
      <c r="CW48" s="65"/>
      <c r="CX48" s="28">
        <f>+CX47+SUM(CV48:CW48)</f>
        <v>1900</v>
      </c>
      <c r="DQ48" s="154">
        <v>40</v>
      </c>
      <c r="DR48" s="138">
        <f t="shared" si="16"/>
        <v>1358.7288223687872</v>
      </c>
      <c r="DS48" s="138">
        <f t="shared" si="17"/>
        <v>113.60950807772292</v>
      </c>
      <c r="DT48" s="138">
        <f t="shared" si="18"/>
        <v>1245.1193142910643</v>
      </c>
      <c r="DU48" s="138">
        <f t="shared" si="19"/>
        <v>26021.162624362434</v>
      </c>
    </row>
    <row r="49" spans="42:125" ht="16.5" thickBot="1" x14ac:dyDescent="0.3">
      <c r="AP49" s="26"/>
      <c r="AT49" s="26"/>
      <c r="AX49" s="16"/>
      <c r="BG49" s="24"/>
      <c r="BH49" s="24"/>
      <c r="BI49" s="52"/>
      <c r="BW49" s="12" t="s">
        <v>125</v>
      </c>
      <c r="BX49" s="12"/>
      <c r="BY49" s="31">
        <f>SUM(BX46:BX48)</f>
        <v>6866.6004999999996</v>
      </c>
      <c r="CE49" s="82"/>
      <c r="CF49" s="83"/>
      <c r="CG49" s="84"/>
      <c r="CH49" s="106"/>
      <c r="CI49" s="103"/>
      <c r="CJ49" s="85"/>
      <c r="CK49" s="84"/>
      <c r="CL49" s="107"/>
      <c r="CM49" s="103"/>
      <c r="CN49" s="86"/>
      <c r="CO49" s="105"/>
      <c r="CP49" s="105"/>
      <c r="DQ49" s="154">
        <v>41</v>
      </c>
      <c r="DR49" s="138">
        <f t="shared" si="16"/>
        <v>1358.7288223687872</v>
      </c>
      <c r="DS49" s="138">
        <f t="shared" si="17"/>
        <v>108.42151093484348</v>
      </c>
      <c r="DT49" s="138">
        <f t="shared" si="18"/>
        <v>1250.3073114339436</v>
      </c>
      <c r="DU49" s="138">
        <f t="shared" si="19"/>
        <v>24770.855312928492</v>
      </c>
    </row>
    <row r="50" spans="42:125" ht="16.5" thickBot="1" x14ac:dyDescent="0.3">
      <c r="BG50" s="24"/>
      <c r="BH50" s="24"/>
      <c r="BI50" s="52"/>
      <c r="BW50" s="12" t="s">
        <v>79</v>
      </c>
      <c r="BX50" s="12"/>
      <c r="BY50" s="143">
        <f>SUM(BY45:BY49)</f>
        <v>150946.6005</v>
      </c>
      <c r="CE50" s="82"/>
      <c r="CF50" s="87"/>
      <c r="CG50" s="88"/>
      <c r="CH50" s="108"/>
      <c r="CI50" s="103"/>
      <c r="CJ50" s="89"/>
      <c r="CK50" s="115"/>
      <c r="CL50" s="109"/>
      <c r="CM50" s="103"/>
      <c r="CN50" s="90"/>
      <c r="CO50" s="110"/>
      <c r="CP50" s="110"/>
      <c r="CR50" s="37" t="s">
        <v>149</v>
      </c>
      <c r="CS50" s="120"/>
      <c r="CT50" s="121"/>
      <c r="CV50" s="37" t="s">
        <v>150</v>
      </c>
      <c r="CW50" s="120"/>
      <c r="CX50" s="121"/>
      <c r="DQ50" s="154">
        <v>42</v>
      </c>
      <c r="DR50" s="138">
        <f t="shared" si="16"/>
        <v>1358.7288223687872</v>
      </c>
      <c r="DS50" s="138">
        <f t="shared" si="17"/>
        <v>103.21189713720206</v>
      </c>
      <c r="DT50" s="138">
        <f t="shared" si="18"/>
        <v>1255.5169252315852</v>
      </c>
      <c r="DU50" s="138">
        <f t="shared" si="19"/>
        <v>23515.338387696906</v>
      </c>
    </row>
    <row r="51" spans="42:125" ht="17.25" thickTop="1" thickBot="1" x14ac:dyDescent="0.3">
      <c r="AU51" s="26"/>
      <c r="AV51" s="16"/>
      <c r="AW51" s="16"/>
      <c r="BG51" s="24"/>
      <c r="BH51" s="24"/>
      <c r="BI51" s="52"/>
      <c r="CH51" s="111"/>
      <c r="CI51" s="111"/>
      <c r="CL51" s="111"/>
      <c r="CM51" s="111"/>
      <c r="CP51" s="111"/>
      <c r="CR51" s="122" t="s">
        <v>6</v>
      </c>
      <c r="CS51" s="123" t="s">
        <v>7</v>
      </c>
      <c r="CT51" s="124" t="s">
        <v>4</v>
      </c>
      <c r="CV51" s="122" t="s">
        <v>6</v>
      </c>
      <c r="CW51" s="123" t="s">
        <v>7</v>
      </c>
      <c r="CX51" s="124" t="s">
        <v>4</v>
      </c>
      <c r="DQ51" s="154">
        <v>43</v>
      </c>
      <c r="DR51" s="138">
        <f t="shared" si="16"/>
        <v>1358.7288223687872</v>
      </c>
      <c r="DS51" s="138">
        <f t="shared" si="17"/>
        <v>97.980576615403777</v>
      </c>
      <c r="DT51" s="138">
        <f t="shared" si="18"/>
        <v>1260.7482457533833</v>
      </c>
      <c r="DU51" s="138">
        <f t="shared" si="19"/>
        <v>22254.590141943521</v>
      </c>
    </row>
    <row r="52" spans="42:125" ht="15.75" thickBot="1" x14ac:dyDescent="0.3">
      <c r="AU52" s="26"/>
      <c r="AV52" s="16"/>
      <c r="AW52" s="16"/>
      <c r="CE52" s="100" t="s">
        <v>92</v>
      </c>
      <c r="CF52" s="254" t="s">
        <v>81</v>
      </c>
      <c r="CG52" s="255"/>
      <c r="CH52" s="256"/>
      <c r="CI52" s="103"/>
      <c r="CJ52" s="257" t="s">
        <v>82</v>
      </c>
      <c r="CK52" s="258"/>
      <c r="CL52" s="259"/>
      <c r="CM52" s="103"/>
      <c r="CN52" s="260" t="s">
        <v>83</v>
      </c>
      <c r="CO52" s="261"/>
      <c r="CP52" s="262"/>
      <c r="CR52" s="28" t="s">
        <v>15</v>
      </c>
      <c r="CS52" s="28"/>
      <c r="CT52" s="28">
        <v>0</v>
      </c>
      <c r="CV52" s="28" t="s">
        <v>15</v>
      </c>
      <c r="CW52" s="28"/>
      <c r="CX52" s="28">
        <v>0</v>
      </c>
      <c r="DQ52" s="154">
        <v>44</v>
      </c>
      <c r="DR52" s="138">
        <f t="shared" si="16"/>
        <v>1358.7288223687872</v>
      </c>
      <c r="DS52" s="138">
        <f t="shared" si="17"/>
        <v>92.727458924764676</v>
      </c>
      <c r="DT52" s="138">
        <f t="shared" si="18"/>
        <v>1266.0013634440224</v>
      </c>
      <c r="DU52" s="138">
        <f t="shared" si="19"/>
        <v>20988.588778499499</v>
      </c>
    </row>
    <row r="53" spans="42:125" x14ac:dyDescent="0.25">
      <c r="AU53" s="26"/>
      <c r="AV53" s="16"/>
      <c r="AW53" s="16"/>
      <c r="CE53" s="92"/>
      <c r="CF53" s="95"/>
      <c r="CG53" s="95" t="s">
        <v>84</v>
      </c>
      <c r="CH53" s="112" t="s">
        <v>85</v>
      </c>
      <c r="CI53" s="103"/>
      <c r="CJ53" s="95"/>
      <c r="CK53" s="95" t="s">
        <v>84</v>
      </c>
      <c r="CL53" s="112" t="s">
        <v>85</v>
      </c>
      <c r="CM53" s="103"/>
      <c r="CN53" s="95"/>
      <c r="CO53" s="112" t="s">
        <v>84</v>
      </c>
      <c r="CP53" s="112" t="s">
        <v>85</v>
      </c>
      <c r="CR53" s="65">
        <f>R14</f>
        <v>1050</v>
      </c>
      <c r="CS53" s="65"/>
      <c r="CT53" s="28">
        <f>+CT52+SUM(CR53:CS53)</f>
        <v>1050</v>
      </c>
      <c r="CV53" s="65">
        <f>R17</f>
        <v>900</v>
      </c>
      <c r="CW53" s="65"/>
      <c r="CX53" s="28">
        <f>+CX52+SUM(CV53:CW53)</f>
        <v>900</v>
      </c>
      <c r="DQ53" s="154">
        <v>45</v>
      </c>
      <c r="DR53" s="138">
        <f t="shared" si="16"/>
        <v>1358.7288223687872</v>
      </c>
      <c r="DS53" s="138">
        <f t="shared" si="17"/>
        <v>87.452453243747925</v>
      </c>
      <c r="DT53" s="138">
        <f t="shared" si="18"/>
        <v>1271.2763691250393</v>
      </c>
      <c r="DU53" s="138">
        <f t="shared" si="19"/>
        <v>19717.312409374459</v>
      </c>
    </row>
    <row r="54" spans="42:125" ht="15.75" thickBot="1" x14ac:dyDescent="0.3">
      <c r="CE54" s="93" t="s">
        <v>27</v>
      </c>
      <c r="CF54" s="96" t="s">
        <v>86</v>
      </c>
      <c r="CG54" s="96" t="s">
        <v>87</v>
      </c>
      <c r="CH54" s="113" t="s">
        <v>87</v>
      </c>
      <c r="CI54" s="103"/>
      <c r="CJ54" s="96" t="s">
        <v>86</v>
      </c>
      <c r="CK54" s="96" t="s">
        <v>87</v>
      </c>
      <c r="CL54" s="113" t="s">
        <v>87</v>
      </c>
      <c r="CM54" s="103"/>
      <c r="CN54" s="96" t="s">
        <v>86</v>
      </c>
      <c r="CO54" s="113" t="s">
        <v>87</v>
      </c>
      <c r="CP54" s="113" t="s">
        <v>87</v>
      </c>
      <c r="CR54" s="65"/>
      <c r="CS54" s="65"/>
      <c r="CT54" s="28">
        <f>+CT53+SUM(CR54:CS54)</f>
        <v>1050</v>
      </c>
      <c r="CV54" s="65"/>
      <c r="CW54" s="65"/>
      <c r="CX54" s="28">
        <f>+CX53+SUM(CV54:CW54)</f>
        <v>900</v>
      </c>
      <c r="DQ54" s="154">
        <v>46</v>
      </c>
      <c r="DR54" s="138">
        <f t="shared" si="16"/>
        <v>1358.7288223687872</v>
      </c>
      <c r="DS54" s="138">
        <f t="shared" si="17"/>
        <v>82.155468372393585</v>
      </c>
      <c r="DT54" s="138">
        <f t="shared" si="18"/>
        <v>1276.5733539963935</v>
      </c>
      <c r="DU54" s="138">
        <f t="shared" si="19"/>
        <v>18440.739055378064</v>
      </c>
    </row>
    <row r="55" spans="42:125" x14ac:dyDescent="0.25">
      <c r="AY55" s="21"/>
      <c r="AZ55" s="21"/>
      <c r="BA55" s="21"/>
      <c r="BK55" s="21"/>
      <c r="BL55" s="21"/>
      <c r="BM55" s="21"/>
      <c r="BO55" s="21"/>
      <c r="BP55" s="21"/>
      <c r="BQ55" s="21"/>
      <c r="BS55" s="21"/>
      <c r="BT55" s="21"/>
      <c r="BU55" s="21"/>
      <c r="CE55" s="91">
        <v>42736</v>
      </c>
      <c r="CF55" s="94"/>
      <c r="CG55" s="97"/>
      <c r="CH55" s="102"/>
      <c r="CI55" s="103"/>
      <c r="CJ55" s="98"/>
      <c r="CK55" s="97"/>
      <c r="CL55" s="104"/>
      <c r="CM55" s="103"/>
      <c r="CN55" s="99">
        <v>2</v>
      </c>
      <c r="CO55" s="101">
        <v>304</v>
      </c>
      <c r="CP55" s="101">
        <f>CN55*CO55</f>
        <v>608</v>
      </c>
      <c r="CR55" s="65"/>
      <c r="CS55" s="65"/>
      <c r="CT55" s="28">
        <f>+CT54+SUM(CR55:CS55)</f>
        <v>1050</v>
      </c>
      <c r="CV55" s="65"/>
      <c r="CW55" s="65"/>
      <c r="CX55" s="28">
        <f>+CX54+SUM(CV55:CW55)</f>
        <v>900</v>
      </c>
      <c r="DQ55" s="154">
        <v>47</v>
      </c>
      <c r="DR55" s="138">
        <f t="shared" si="16"/>
        <v>1358.7288223687872</v>
      </c>
      <c r="DS55" s="138">
        <f t="shared" si="17"/>
        <v>76.836412730741941</v>
      </c>
      <c r="DT55" s="138">
        <f t="shared" si="18"/>
        <v>1281.8924096380451</v>
      </c>
      <c r="DU55" s="138">
        <f t="shared" si="19"/>
        <v>17158.846645740021</v>
      </c>
    </row>
    <row r="56" spans="42:125" ht="15.75" customHeight="1" thickBot="1" x14ac:dyDescent="0.3">
      <c r="AY56" s="22"/>
      <c r="AZ56" s="22"/>
      <c r="BA56" s="22"/>
      <c r="BK56" s="22"/>
      <c r="BL56" s="22"/>
      <c r="BM56" s="22"/>
      <c r="BO56" s="22"/>
      <c r="BP56" s="22"/>
      <c r="BQ56" s="22"/>
      <c r="BS56" s="22"/>
      <c r="BT56" s="22"/>
      <c r="BU56" s="22"/>
      <c r="CE56" s="82"/>
      <c r="CF56" s="83"/>
      <c r="CG56" s="84"/>
      <c r="CH56" s="106"/>
      <c r="CI56" s="103"/>
      <c r="CJ56" s="85">
        <v>1</v>
      </c>
      <c r="CK56" s="84">
        <v>304</v>
      </c>
      <c r="CL56" s="107">
        <f>CJ56*CK56</f>
        <v>304</v>
      </c>
      <c r="CM56" s="103"/>
      <c r="CN56" s="86">
        <f>CN55-CJ56</f>
        <v>1</v>
      </c>
      <c r="CO56" s="105">
        <f>+CO55</f>
        <v>304</v>
      </c>
      <c r="CP56" s="105">
        <f>CN56*CO56</f>
        <v>304</v>
      </c>
      <c r="DQ56" s="154">
        <v>48</v>
      </c>
      <c r="DR56" s="138">
        <f t="shared" si="16"/>
        <v>1358.7288223687872</v>
      </c>
      <c r="DS56" s="138">
        <f t="shared" si="17"/>
        <v>71.495194357250099</v>
      </c>
      <c r="DT56" s="138">
        <f t="shared" si="18"/>
        <v>1287.2336280115371</v>
      </c>
      <c r="DU56" s="138">
        <f t="shared" si="19"/>
        <v>15871.613017728483</v>
      </c>
    </row>
    <row r="57" spans="42:125" ht="16.5" thickBot="1" x14ac:dyDescent="0.3">
      <c r="AY57" s="51"/>
      <c r="AZ57" s="23"/>
      <c r="BA57" s="52"/>
      <c r="BK57" s="51"/>
      <c r="BL57" s="23"/>
      <c r="BM57" s="52"/>
      <c r="BO57" s="51"/>
      <c r="BP57" s="23"/>
      <c r="BQ57" s="52"/>
      <c r="BS57" s="51"/>
      <c r="BT57" s="23"/>
      <c r="BU57" s="52"/>
      <c r="CE57" s="82"/>
      <c r="CF57" s="83"/>
      <c r="CG57" s="84"/>
      <c r="CH57" s="106"/>
      <c r="CI57" s="103"/>
      <c r="CJ57" s="85"/>
      <c r="CK57" s="84"/>
      <c r="CL57" s="107"/>
      <c r="CM57" s="103"/>
      <c r="CN57" s="86"/>
      <c r="CO57" s="105"/>
      <c r="CP57" s="105"/>
      <c r="CR57" s="37" t="s">
        <v>151</v>
      </c>
      <c r="CS57" s="120"/>
      <c r="CT57" s="121"/>
      <c r="CV57" s="37" t="s">
        <v>152</v>
      </c>
      <c r="CW57" s="120"/>
      <c r="CX57" s="121"/>
      <c r="DQ57" s="154">
        <v>49</v>
      </c>
      <c r="DR57" s="138">
        <f t="shared" si="16"/>
        <v>1358.7288223687872</v>
      </c>
      <c r="DS57" s="138">
        <f t="shared" si="17"/>
        <v>66.131720907202023</v>
      </c>
      <c r="DT57" s="138">
        <f t="shared" si="18"/>
        <v>1292.5971014615852</v>
      </c>
      <c r="DU57" s="138">
        <f t="shared" si="19"/>
        <v>14579.015916266897</v>
      </c>
    </row>
    <row r="58" spans="42:125" ht="16.5" thickBot="1" x14ac:dyDescent="0.3">
      <c r="AY58" s="24"/>
      <c r="AZ58" s="24"/>
      <c r="BA58" s="52"/>
      <c r="BC58" s="21"/>
      <c r="BD58" s="21"/>
      <c r="BE58" s="21"/>
      <c r="BK58" s="24"/>
      <c r="BL58" s="24"/>
      <c r="BM58" s="52"/>
      <c r="BO58" s="24"/>
      <c r="BP58" s="24"/>
      <c r="BQ58" s="52"/>
      <c r="BS58" s="24"/>
      <c r="BT58" s="24"/>
      <c r="BU58" s="52"/>
      <c r="CE58" s="82"/>
      <c r="CF58" s="83"/>
      <c r="CG58" s="84"/>
      <c r="CH58" s="106"/>
      <c r="CI58" s="103"/>
      <c r="CJ58" s="85"/>
      <c r="CK58" s="84"/>
      <c r="CL58" s="107"/>
      <c r="CM58" s="103"/>
      <c r="CN58" s="86"/>
      <c r="CO58" s="105"/>
      <c r="CP58" s="105"/>
      <c r="CR58" s="122" t="s">
        <v>6</v>
      </c>
      <c r="CS58" s="123" t="s">
        <v>7</v>
      </c>
      <c r="CT58" s="124" t="s">
        <v>4</v>
      </c>
      <c r="CV58" s="122" t="s">
        <v>6</v>
      </c>
      <c r="CW58" s="123" t="s">
        <v>7</v>
      </c>
      <c r="CX58" s="124" t="s">
        <v>4</v>
      </c>
      <c r="DQ58" s="154">
        <v>50</v>
      </c>
      <c r="DR58" s="138">
        <f t="shared" si="16"/>
        <v>1358.7288223687872</v>
      </c>
      <c r="DS58" s="138">
        <f t="shared" si="17"/>
        <v>60.745899651112076</v>
      </c>
      <c r="DT58" s="138">
        <f t="shared" si="18"/>
        <v>1297.9829227176751</v>
      </c>
      <c r="DU58" s="138">
        <f t="shared" si="19"/>
        <v>13281.032993549223</v>
      </c>
    </row>
    <row r="59" spans="42:125" ht="15.75" x14ac:dyDescent="0.25">
      <c r="AY59" s="24"/>
      <c r="AZ59" s="24"/>
      <c r="BA59" s="52"/>
      <c r="BC59" s="22"/>
      <c r="BD59" s="22"/>
      <c r="BE59" s="22"/>
      <c r="BK59" s="24"/>
      <c r="BL59" s="24"/>
      <c r="BM59" s="52"/>
      <c r="BO59" s="24"/>
      <c r="BP59" s="24"/>
      <c r="BQ59" s="52"/>
      <c r="BS59" s="24"/>
      <c r="BT59" s="24"/>
      <c r="BU59" s="52"/>
      <c r="CE59" s="82"/>
      <c r="CF59" s="83"/>
      <c r="CG59" s="84"/>
      <c r="CH59" s="106"/>
      <c r="CI59" s="103"/>
      <c r="CJ59" s="85"/>
      <c r="CK59" s="84"/>
      <c r="CL59" s="107"/>
      <c r="CM59" s="103"/>
      <c r="CN59" s="86"/>
      <c r="CO59" s="105"/>
      <c r="CP59" s="105"/>
      <c r="CR59" s="28" t="s">
        <v>15</v>
      </c>
      <c r="CS59" s="28"/>
      <c r="CT59" s="28">
        <v>0</v>
      </c>
      <c r="CV59" s="28" t="s">
        <v>15</v>
      </c>
      <c r="CW59" s="28"/>
      <c r="CX59" s="28">
        <v>0</v>
      </c>
      <c r="DQ59" s="154">
        <v>51</v>
      </c>
      <c r="DR59" s="138">
        <f t="shared" si="16"/>
        <v>1358.7288223687872</v>
      </c>
      <c r="DS59" s="138">
        <f t="shared" si="17"/>
        <v>55.337637473121767</v>
      </c>
      <c r="DT59" s="138">
        <f t="shared" si="18"/>
        <v>1303.3911848956654</v>
      </c>
      <c r="DU59" s="138">
        <f t="shared" si="19"/>
        <v>11977.641808653558</v>
      </c>
    </row>
    <row r="60" spans="42:125" ht="15.75" x14ac:dyDescent="0.25">
      <c r="AY60" s="25"/>
      <c r="AZ60" s="25"/>
      <c r="BA60" s="25"/>
      <c r="BC60" s="51"/>
      <c r="BD60" s="23"/>
      <c r="BE60" s="52"/>
      <c r="BK60" s="25"/>
      <c r="BL60" s="25"/>
      <c r="BM60" s="25"/>
      <c r="BO60" s="25"/>
      <c r="BP60" s="25"/>
      <c r="BQ60" s="25"/>
      <c r="BS60" s="25"/>
      <c r="BT60" s="25"/>
      <c r="BU60" s="25"/>
      <c r="CE60" s="82"/>
      <c r="CF60" s="83"/>
      <c r="CG60" s="84"/>
      <c r="CH60" s="106"/>
      <c r="CI60" s="103"/>
      <c r="CJ60" s="85"/>
      <c r="CK60" s="84"/>
      <c r="CL60" s="107"/>
      <c r="CM60" s="103"/>
      <c r="CN60" s="86"/>
      <c r="CO60" s="105"/>
      <c r="CP60" s="105"/>
      <c r="CR60" s="65">
        <f>R20</f>
        <v>1350</v>
      </c>
      <c r="CS60" s="65"/>
      <c r="CT60" s="28">
        <f>+CT59+SUM(CR60:CS60)</f>
        <v>1350</v>
      </c>
      <c r="CV60" s="65">
        <f>R23</f>
        <v>800</v>
      </c>
      <c r="CW60" s="65"/>
      <c r="CX60" s="28">
        <f>+CX59+SUM(CV60:CW60)</f>
        <v>800</v>
      </c>
      <c r="DQ60" s="154">
        <v>52</v>
      </c>
      <c r="DR60" s="138">
        <f t="shared" si="16"/>
        <v>1358.7288223687872</v>
      </c>
      <c r="DS60" s="138">
        <f t="shared" si="17"/>
        <v>49.906840869389832</v>
      </c>
      <c r="DT60" s="138">
        <f t="shared" si="18"/>
        <v>1308.8219814993975</v>
      </c>
      <c r="DU60" s="138">
        <f t="shared" si="19"/>
        <v>10668.819827154161</v>
      </c>
    </row>
    <row r="61" spans="42:125" ht="16.5" thickBot="1" x14ac:dyDescent="0.3">
      <c r="AY61" s="21"/>
      <c r="AZ61" s="21"/>
      <c r="BA61" s="21"/>
      <c r="BC61" s="24"/>
      <c r="BD61" s="24"/>
      <c r="BE61" s="52"/>
      <c r="BK61" s="21"/>
      <c r="BL61" s="21"/>
      <c r="BM61" s="21"/>
      <c r="BO61" s="21"/>
      <c r="BP61" s="21"/>
      <c r="BQ61" s="21"/>
      <c r="BS61" s="21"/>
      <c r="BT61" s="21"/>
      <c r="BU61" s="21"/>
      <c r="CE61" s="82"/>
      <c r="CF61" s="87"/>
      <c r="CG61" s="88"/>
      <c r="CH61" s="108"/>
      <c r="CI61" s="103"/>
      <c r="CJ61" s="89"/>
      <c r="CK61" s="115"/>
      <c r="CL61" s="109"/>
      <c r="CM61" s="103"/>
      <c r="CN61" s="90"/>
      <c r="CO61" s="110"/>
      <c r="CP61" s="110"/>
      <c r="CR61" s="65"/>
      <c r="CS61" s="65"/>
      <c r="CT61" s="28">
        <f>+CT60+SUM(CR61:CS61)</f>
        <v>1350</v>
      </c>
      <c r="CV61" s="65"/>
      <c r="CW61" s="65"/>
      <c r="CX61" s="28">
        <f>+CX60+SUM(CV61:CW61)</f>
        <v>800</v>
      </c>
      <c r="DQ61" s="154">
        <v>53</v>
      </c>
      <c r="DR61" s="138">
        <f t="shared" si="16"/>
        <v>1358.7288223687872</v>
      </c>
      <c r="DS61" s="138">
        <f t="shared" si="17"/>
        <v>44.453415946475673</v>
      </c>
      <c r="DT61" s="138">
        <f t="shared" si="18"/>
        <v>1314.2754064223116</v>
      </c>
      <c r="DU61" s="138">
        <f t="shared" si="19"/>
        <v>9354.5444207318487</v>
      </c>
    </row>
    <row r="62" spans="42:125" ht="17.25" thickTop="1" thickBot="1" x14ac:dyDescent="0.3">
      <c r="AY62" s="22"/>
      <c r="AZ62" s="22"/>
      <c r="BA62" s="22"/>
      <c r="BC62" s="24"/>
      <c r="BD62" s="24"/>
      <c r="BE62" s="52"/>
      <c r="BK62" s="22"/>
      <c r="BL62" s="22"/>
      <c r="BM62" s="22"/>
      <c r="BO62" s="22"/>
      <c r="BP62" s="22"/>
      <c r="BQ62" s="22"/>
      <c r="BS62" s="22"/>
      <c r="BT62" s="22"/>
      <c r="BU62" s="22"/>
      <c r="CH62" s="111"/>
      <c r="CI62" s="111"/>
      <c r="CL62" s="111"/>
      <c r="CM62" s="111"/>
      <c r="CP62" s="111"/>
      <c r="CR62" s="65"/>
      <c r="CS62" s="65"/>
      <c r="CT62" s="28">
        <f>+CT61+SUM(CR62:CS62)</f>
        <v>1350</v>
      </c>
      <c r="CV62" s="65"/>
      <c r="CW62" s="65"/>
      <c r="CX62" s="28">
        <f>+CX61+SUM(CV62:CW62)</f>
        <v>800</v>
      </c>
      <c r="DQ62" s="154">
        <v>54</v>
      </c>
      <c r="DR62" s="138">
        <f t="shared" si="16"/>
        <v>1358.7288223687872</v>
      </c>
      <c r="DS62" s="138">
        <f t="shared" si="17"/>
        <v>38.97726841971604</v>
      </c>
      <c r="DT62" s="138">
        <f t="shared" si="18"/>
        <v>1319.7515539490712</v>
      </c>
      <c r="DU62" s="138">
        <f t="shared" si="19"/>
        <v>8034.7928667827773</v>
      </c>
    </row>
    <row r="63" spans="42:125" ht="16.5" thickBot="1" x14ac:dyDescent="0.3">
      <c r="AY63" s="51"/>
      <c r="AZ63" s="23"/>
      <c r="BA63" s="52"/>
      <c r="BC63" s="25"/>
      <c r="BD63" s="25"/>
      <c r="BE63" s="25"/>
      <c r="BK63" s="51"/>
      <c r="BL63" s="23"/>
      <c r="BM63" s="52"/>
      <c r="BO63" s="51"/>
      <c r="BP63" s="23"/>
      <c r="BQ63" s="52"/>
      <c r="BS63" s="51"/>
      <c r="BT63" s="23"/>
      <c r="BU63" s="52"/>
      <c r="CE63" s="100" t="s">
        <v>93</v>
      </c>
      <c r="CF63" s="254" t="s">
        <v>81</v>
      </c>
      <c r="CG63" s="255"/>
      <c r="CH63" s="256"/>
      <c r="CI63" s="103"/>
      <c r="CJ63" s="257" t="s">
        <v>82</v>
      </c>
      <c r="CK63" s="258"/>
      <c r="CL63" s="259"/>
      <c r="CM63" s="103"/>
      <c r="CN63" s="260" t="s">
        <v>83</v>
      </c>
      <c r="CO63" s="261"/>
      <c r="CP63" s="262"/>
      <c r="DQ63" s="154">
        <v>55</v>
      </c>
      <c r="DR63" s="138">
        <f t="shared" si="16"/>
        <v>1358.7288223687872</v>
      </c>
      <c r="DS63" s="138">
        <f t="shared" si="17"/>
        <v>33.478303611594903</v>
      </c>
      <c r="DT63" s="138">
        <f t="shared" si="18"/>
        <v>1325.2505187571924</v>
      </c>
      <c r="DU63" s="138">
        <f t="shared" si="19"/>
        <v>6709.5423480255849</v>
      </c>
    </row>
    <row r="64" spans="42:125" ht="16.5" thickBot="1" x14ac:dyDescent="0.3">
      <c r="AY64" s="24"/>
      <c r="AZ64" s="24"/>
      <c r="BA64" s="52"/>
      <c r="BC64" s="21"/>
      <c r="BD64" s="21"/>
      <c r="BE64" s="21"/>
      <c r="BK64" s="24"/>
      <c r="BL64" s="24"/>
      <c r="BM64" s="52"/>
      <c r="BO64" s="24"/>
      <c r="BP64" s="24"/>
      <c r="BQ64" s="52"/>
      <c r="BS64" s="24"/>
      <c r="BT64" s="24"/>
      <c r="BU64" s="52"/>
      <c r="CE64" s="92"/>
      <c r="CF64" s="95"/>
      <c r="CG64" s="95" t="s">
        <v>84</v>
      </c>
      <c r="CH64" s="112" t="s">
        <v>85</v>
      </c>
      <c r="CI64" s="103"/>
      <c r="CJ64" s="95"/>
      <c r="CK64" s="95" t="s">
        <v>84</v>
      </c>
      <c r="CL64" s="112" t="s">
        <v>85</v>
      </c>
      <c r="CM64" s="103"/>
      <c r="CN64" s="95"/>
      <c r="CO64" s="112" t="s">
        <v>84</v>
      </c>
      <c r="CP64" s="112" t="s">
        <v>85</v>
      </c>
      <c r="CR64" s="37" t="s">
        <v>153</v>
      </c>
      <c r="CS64" s="120"/>
      <c r="CT64" s="121"/>
      <c r="CV64" s="37" t="s">
        <v>154</v>
      </c>
      <c r="CW64" s="120"/>
      <c r="CX64" s="121"/>
      <c r="DQ64" s="154">
        <v>56</v>
      </c>
      <c r="DR64" s="138">
        <f t="shared" si="16"/>
        <v>1358.7288223687872</v>
      </c>
      <c r="DS64" s="138">
        <f t="shared" si="17"/>
        <v>27.956426450106605</v>
      </c>
      <c r="DT64" s="138">
        <f t="shared" si="18"/>
        <v>1330.7723959186806</v>
      </c>
      <c r="DU64" s="138">
        <f t="shared" si="19"/>
        <v>5378.7699521069044</v>
      </c>
    </row>
    <row r="65" spans="51:125" ht="16.5" thickBot="1" x14ac:dyDescent="0.3">
      <c r="AY65" s="24"/>
      <c r="AZ65" s="24"/>
      <c r="BA65" s="52"/>
      <c r="BC65" s="22"/>
      <c r="BD65" s="22"/>
      <c r="BE65" s="22"/>
      <c r="BK65" s="24"/>
      <c r="BL65" s="24"/>
      <c r="BM65" s="52"/>
      <c r="BO65" s="24"/>
      <c r="BP65" s="24"/>
      <c r="BQ65" s="52"/>
      <c r="BS65" s="24"/>
      <c r="BT65" s="24"/>
      <c r="BU65" s="52"/>
      <c r="CE65" s="93" t="s">
        <v>27</v>
      </c>
      <c r="CF65" s="96" t="s">
        <v>86</v>
      </c>
      <c r="CG65" s="96" t="s">
        <v>87</v>
      </c>
      <c r="CH65" s="113" t="s">
        <v>87</v>
      </c>
      <c r="CI65" s="103"/>
      <c r="CJ65" s="96" t="s">
        <v>86</v>
      </c>
      <c r="CK65" s="96" t="s">
        <v>87</v>
      </c>
      <c r="CL65" s="113" t="s">
        <v>87</v>
      </c>
      <c r="CM65" s="103"/>
      <c r="CN65" s="96" t="s">
        <v>86</v>
      </c>
      <c r="CO65" s="113" t="s">
        <v>87</v>
      </c>
      <c r="CP65" s="113" t="s">
        <v>87</v>
      </c>
      <c r="CR65" s="122" t="s">
        <v>6</v>
      </c>
      <c r="CS65" s="123" t="s">
        <v>7</v>
      </c>
      <c r="CT65" s="124" t="s">
        <v>4</v>
      </c>
      <c r="CV65" s="122" t="s">
        <v>6</v>
      </c>
      <c r="CW65" s="123" t="s">
        <v>7</v>
      </c>
      <c r="CX65" s="124" t="s">
        <v>4</v>
      </c>
      <c r="DQ65" s="154">
        <v>57</v>
      </c>
      <c r="DR65" s="138">
        <f t="shared" si="16"/>
        <v>1358.7288223687872</v>
      </c>
      <c r="DS65" s="138">
        <f t="shared" si="17"/>
        <v>22.411541467112102</v>
      </c>
      <c r="DT65" s="138">
        <f t="shared" si="18"/>
        <v>1336.3172809016751</v>
      </c>
      <c r="DU65" s="138">
        <f t="shared" si="19"/>
        <v>4042.4526712052293</v>
      </c>
    </row>
    <row r="66" spans="51:125" ht="15.75" x14ac:dyDescent="0.25">
      <c r="AY66" s="24"/>
      <c r="AZ66" s="24"/>
      <c r="BA66" s="52"/>
      <c r="BC66" s="51"/>
      <c r="BD66" s="23"/>
      <c r="BE66" s="52"/>
      <c r="BK66" s="24"/>
      <c r="BL66" s="24"/>
      <c r="BM66" s="52"/>
      <c r="BO66" s="24"/>
      <c r="BP66" s="24"/>
      <c r="BQ66" s="52"/>
      <c r="BS66" s="24"/>
      <c r="BT66" s="24"/>
      <c r="BU66" s="52"/>
      <c r="CE66" s="91">
        <v>42736</v>
      </c>
      <c r="CF66" s="94"/>
      <c r="CG66" s="97"/>
      <c r="CH66" s="102"/>
      <c r="CI66" s="103"/>
      <c r="CJ66" s="98"/>
      <c r="CK66" s="97"/>
      <c r="CL66" s="104"/>
      <c r="CM66" s="103"/>
      <c r="CN66" s="99">
        <v>2</v>
      </c>
      <c r="CO66" s="101">
        <v>320</v>
      </c>
      <c r="CP66" s="101">
        <f>CN66*CO66</f>
        <v>640</v>
      </c>
      <c r="CR66" s="28" t="s">
        <v>15</v>
      </c>
      <c r="CS66" s="28"/>
      <c r="CT66" s="28">
        <v>0</v>
      </c>
      <c r="CV66" s="28" t="s">
        <v>15</v>
      </c>
      <c r="CW66" s="28"/>
      <c r="CX66" s="28">
        <v>0</v>
      </c>
      <c r="DQ66" s="154">
        <v>58</v>
      </c>
      <c r="DR66" s="138">
        <f t="shared" si="16"/>
        <v>1358.7288223687872</v>
      </c>
      <c r="DS66" s="138">
        <f t="shared" si="17"/>
        <v>16.843552796688456</v>
      </c>
      <c r="DT66" s="138">
        <f t="shared" si="18"/>
        <v>1341.8852695720987</v>
      </c>
      <c r="DU66" s="138">
        <f t="shared" si="19"/>
        <v>2700.5674016331304</v>
      </c>
    </row>
    <row r="67" spans="51:125" ht="15.75" customHeight="1" x14ac:dyDescent="0.25">
      <c r="BC67" s="24"/>
      <c r="BD67" s="24"/>
      <c r="BE67" s="52"/>
      <c r="CE67" s="82"/>
      <c r="CF67" s="83"/>
      <c r="CG67" s="84"/>
      <c r="CH67" s="106"/>
      <c r="CI67" s="103"/>
      <c r="CJ67" s="85">
        <v>1</v>
      </c>
      <c r="CK67" s="84">
        <f>+CO66</f>
        <v>320</v>
      </c>
      <c r="CL67" s="107">
        <f>CJ67*CK67</f>
        <v>320</v>
      </c>
      <c r="CM67" s="103"/>
      <c r="CN67" s="86">
        <f>CN66-CJ67</f>
        <v>1</v>
      </c>
      <c r="CO67" s="105">
        <f>+CO66</f>
        <v>320</v>
      </c>
      <c r="CP67" s="105">
        <f>CN67*CO67</f>
        <v>320</v>
      </c>
      <c r="CR67" s="65">
        <f>R26</f>
        <v>800</v>
      </c>
      <c r="CS67" s="65"/>
      <c r="CT67" s="28">
        <f>+CT66+SUM(CR67:CS67)</f>
        <v>800</v>
      </c>
      <c r="CV67" s="65">
        <f>R29</f>
        <v>600</v>
      </c>
      <c r="CW67" s="65"/>
      <c r="CX67" s="28">
        <f>+CX66+SUM(CV67:CW67)</f>
        <v>600</v>
      </c>
      <c r="DQ67" s="154">
        <v>59</v>
      </c>
      <c r="DR67" s="138">
        <f t="shared" si="16"/>
        <v>1358.7288223687872</v>
      </c>
      <c r="DS67" s="138">
        <f t="shared" si="17"/>
        <v>11.252364173471378</v>
      </c>
      <c r="DT67" s="138">
        <f t="shared" si="18"/>
        <v>1347.4764581953159</v>
      </c>
      <c r="DU67" s="138">
        <f t="shared" si="19"/>
        <v>1353.0909434378145</v>
      </c>
    </row>
    <row r="68" spans="51:125" ht="15.75" x14ac:dyDescent="0.25">
      <c r="BC68" s="24"/>
      <c r="BD68" s="24"/>
      <c r="BE68" s="52"/>
      <c r="CE68" s="82">
        <v>42786</v>
      </c>
      <c r="CF68" s="83"/>
      <c r="CG68" s="84"/>
      <c r="CH68" s="106"/>
      <c r="CI68" s="103"/>
      <c r="CJ68" s="85">
        <v>1</v>
      </c>
      <c r="CK68" s="84">
        <v>320</v>
      </c>
      <c r="CL68" s="107">
        <f>CJ68*CK68</f>
        <v>320</v>
      </c>
      <c r="CM68" s="103"/>
      <c r="CN68" s="86">
        <f>CN67-CJ68</f>
        <v>0</v>
      </c>
      <c r="CO68" s="105">
        <f>CO67</f>
        <v>320</v>
      </c>
      <c r="CP68" s="105">
        <f>CN68*CO68</f>
        <v>0</v>
      </c>
      <c r="CR68" s="65"/>
      <c r="CS68" s="65"/>
      <c r="CT68" s="28">
        <f>+CT67+SUM(CR68:CS68)</f>
        <v>800</v>
      </c>
      <c r="CV68" s="65"/>
      <c r="CW68" s="65"/>
      <c r="CX68" s="28">
        <f>+CX67+SUM(CV68:CW68)</f>
        <v>600</v>
      </c>
      <c r="DQ68" s="154">
        <v>60</v>
      </c>
      <c r="DR68" s="138">
        <f t="shared" si="16"/>
        <v>1358.7288223687872</v>
      </c>
      <c r="DS68" s="138">
        <f t="shared" si="17"/>
        <v>5.6378789309908939</v>
      </c>
      <c r="DT68" s="138">
        <f t="shared" si="18"/>
        <v>1353.0909434377963</v>
      </c>
      <c r="DU68" s="138">
        <f t="shared" si="19"/>
        <v>1.8189894035458565E-11</v>
      </c>
    </row>
    <row r="69" spans="51:125" ht="15.75" x14ac:dyDescent="0.25">
      <c r="BC69" s="24"/>
      <c r="BD69" s="24"/>
      <c r="BE69" s="52"/>
      <c r="CE69" s="82"/>
      <c r="CF69" s="83"/>
      <c r="CG69" s="84"/>
      <c r="CH69" s="106"/>
      <c r="CI69" s="103"/>
      <c r="CJ69" s="85"/>
      <c r="CK69" s="84"/>
      <c r="CL69" s="107"/>
      <c r="CM69" s="103"/>
      <c r="CN69" s="86"/>
      <c r="CO69" s="105"/>
      <c r="CP69" s="105"/>
      <c r="CR69" s="65"/>
      <c r="CS69" s="65"/>
      <c r="CT69" s="28">
        <f>+CT68+SUM(CR69:CS69)</f>
        <v>800</v>
      </c>
      <c r="CV69" s="65"/>
      <c r="CW69" s="65"/>
      <c r="CX69" s="28">
        <f>+CX68+SUM(CV69:CW69)</f>
        <v>600</v>
      </c>
    </row>
    <row r="70" spans="51:125" x14ac:dyDescent="0.25">
      <c r="BW70" s="12" t="s">
        <v>80</v>
      </c>
      <c r="BX70" s="12">
        <f>+BY42</f>
        <v>6866.6004999999996</v>
      </c>
      <c r="BY70" s="12"/>
      <c r="CE70" s="82"/>
      <c r="CF70" s="83"/>
      <c r="CG70" s="84"/>
      <c r="CH70" s="106"/>
      <c r="CI70" s="103"/>
      <c r="CJ70" s="85"/>
      <c r="CK70" s="84"/>
      <c r="CL70" s="107"/>
      <c r="CM70" s="103"/>
      <c r="CN70" s="86"/>
      <c r="CO70" s="105"/>
      <c r="CP70" s="105"/>
    </row>
    <row r="71" spans="51:125" x14ac:dyDescent="0.25">
      <c r="BW71" s="12" t="s">
        <v>26</v>
      </c>
      <c r="BX71" s="12">
        <f>+AK21</f>
        <v>0</v>
      </c>
      <c r="BY71" s="12"/>
      <c r="CE71" s="82"/>
      <c r="CF71" s="83"/>
      <c r="CG71" s="84"/>
      <c r="CH71" s="106"/>
      <c r="CI71" s="103"/>
      <c r="CJ71" s="85"/>
      <c r="CK71" s="84"/>
      <c r="CL71" s="107"/>
      <c r="CM71" s="103"/>
      <c r="CN71" s="86"/>
      <c r="CO71" s="105"/>
      <c r="CP71" s="105"/>
    </row>
    <row r="72" spans="51:125" ht="15.75" thickBot="1" x14ac:dyDescent="0.3">
      <c r="BW72" s="12" t="s">
        <v>77</v>
      </c>
      <c r="BX72" s="12"/>
      <c r="BY72" s="12">
        <f>+BX46+BX70+BX71</f>
        <v>6866.6004999999996</v>
      </c>
      <c r="CE72" s="82"/>
      <c r="CF72" s="87"/>
      <c r="CG72" s="88"/>
      <c r="CH72" s="108"/>
      <c r="CI72" s="103"/>
      <c r="CJ72" s="89"/>
      <c r="CK72" s="115"/>
      <c r="CL72" s="109"/>
      <c r="CM72" s="103"/>
      <c r="CN72" s="90"/>
      <c r="CO72" s="110"/>
      <c r="CP72" s="110"/>
    </row>
    <row r="73" spans="51:125" ht="15.75" customHeight="1" thickTop="1" thickBot="1" x14ac:dyDescent="0.3">
      <c r="BW73" s="12" t="s">
        <v>79</v>
      </c>
      <c r="BX73" s="12"/>
      <c r="BY73" s="32">
        <f>BY45+BY72</f>
        <v>150946.6005</v>
      </c>
      <c r="CR73" s="73" t="s">
        <v>36</v>
      </c>
      <c r="CX73" s="66">
        <f>+CT13+CX13+CT20+CX21+CT27+CX27+CT34+CT41+CX34+CX41+CT48+CX48+CT55+CX55+CT62+CX62+CT69+CX69</f>
        <v>10449.27</v>
      </c>
    </row>
    <row r="74" spans="51:125" ht="16.5" thickTop="1" thickBot="1" x14ac:dyDescent="0.3">
      <c r="CE74" s="100" t="s">
        <v>102</v>
      </c>
      <c r="CF74" s="254" t="s">
        <v>81</v>
      </c>
      <c r="CG74" s="255"/>
      <c r="CH74" s="256"/>
      <c r="CI74" s="103"/>
      <c r="CJ74" s="257" t="s">
        <v>82</v>
      </c>
      <c r="CK74" s="258"/>
      <c r="CL74" s="259"/>
      <c r="CM74" s="103"/>
      <c r="CN74" s="260" t="s">
        <v>83</v>
      </c>
      <c r="CO74" s="261"/>
      <c r="CP74" s="262"/>
    </row>
    <row r="75" spans="51:125" x14ac:dyDescent="0.25">
      <c r="CE75" s="92"/>
      <c r="CF75" s="95"/>
      <c r="CG75" s="95" t="s">
        <v>84</v>
      </c>
      <c r="CH75" s="112" t="s">
        <v>85</v>
      </c>
      <c r="CI75" s="103"/>
      <c r="CJ75" s="95"/>
      <c r="CK75" s="95" t="s">
        <v>84</v>
      </c>
      <c r="CL75" s="112" t="s">
        <v>85</v>
      </c>
      <c r="CM75" s="103"/>
      <c r="CN75" s="95"/>
      <c r="CO75" s="112" t="s">
        <v>84</v>
      </c>
      <c r="CP75" s="112" t="s">
        <v>85</v>
      </c>
    </row>
    <row r="76" spans="51:125" ht="15.75" thickBot="1" x14ac:dyDescent="0.3">
      <c r="CE76" s="93" t="s">
        <v>27</v>
      </c>
      <c r="CF76" s="96" t="s">
        <v>86</v>
      </c>
      <c r="CG76" s="96" t="s">
        <v>87</v>
      </c>
      <c r="CH76" s="113" t="s">
        <v>87</v>
      </c>
      <c r="CI76" s="103"/>
      <c r="CJ76" s="96" t="s">
        <v>86</v>
      </c>
      <c r="CK76" s="96" t="s">
        <v>87</v>
      </c>
      <c r="CL76" s="113" t="s">
        <v>87</v>
      </c>
      <c r="CM76" s="103"/>
      <c r="CN76" s="96" t="s">
        <v>86</v>
      </c>
      <c r="CO76" s="113" t="s">
        <v>87</v>
      </c>
      <c r="CP76" s="113" t="s">
        <v>87</v>
      </c>
    </row>
    <row r="77" spans="51:125" x14ac:dyDescent="0.25">
      <c r="CE77" s="91">
        <v>42760</v>
      </c>
      <c r="CF77" s="94">
        <v>1</v>
      </c>
      <c r="CG77" s="97">
        <v>598</v>
      </c>
      <c r="CH77" s="102">
        <f>CF77*CG77</f>
        <v>598</v>
      </c>
      <c r="CI77" s="103"/>
      <c r="CJ77" s="98"/>
      <c r="CK77" s="97"/>
      <c r="CL77" s="104"/>
      <c r="CM77" s="103"/>
      <c r="CN77" s="99">
        <f>CF77</f>
        <v>1</v>
      </c>
      <c r="CO77" s="101">
        <f>CG77</f>
        <v>598</v>
      </c>
      <c r="CP77" s="101">
        <f>CN77*CO77</f>
        <v>598</v>
      </c>
    </row>
    <row r="78" spans="51:125" x14ac:dyDescent="0.25">
      <c r="CE78" s="82">
        <v>42760</v>
      </c>
      <c r="CF78" s="83"/>
      <c r="CG78" s="84"/>
      <c r="CH78" s="106"/>
      <c r="CI78" s="103"/>
      <c r="CJ78" s="85">
        <v>1</v>
      </c>
      <c r="CK78" s="84">
        <f>CO77</f>
        <v>598</v>
      </c>
      <c r="CL78" s="107">
        <f>CJ78*CK78</f>
        <v>598</v>
      </c>
      <c r="CM78" s="103"/>
      <c r="CN78" s="86">
        <f>CN77-CJ78</f>
        <v>0</v>
      </c>
      <c r="CO78" s="105">
        <f>CO77</f>
        <v>598</v>
      </c>
      <c r="CP78" s="105">
        <f>CN78*CO78</f>
        <v>0</v>
      </c>
    </row>
    <row r="79" spans="51:125" x14ac:dyDescent="0.25">
      <c r="CE79" s="82"/>
      <c r="CF79" s="83"/>
      <c r="CG79" s="84"/>
      <c r="CH79" s="106"/>
      <c r="CI79" s="103"/>
      <c r="CJ79" s="85"/>
      <c r="CK79" s="84"/>
      <c r="CL79" s="107"/>
      <c r="CM79" s="103"/>
      <c r="CN79" s="86"/>
      <c r="CO79" s="105"/>
      <c r="CP79" s="105"/>
    </row>
    <row r="80" spans="51:125" x14ac:dyDescent="0.25">
      <c r="CE80" s="82"/>
      <c r="CF80" s="83"/>
      <c r="CG80" s="84"/>
      <c r="CH80" s="106"/>
      <c r="CI80" s="103"/>
      <c r="CJ80" s="85"/>
      <c r="CK80" s="84"/>
      <c r="CL80" s="107"/>
      <c r="CM80" s="103"/>
      <c r="CN80" s="86"/>
      <c r="CO80" s="105"/>
      <c r="CP80" s="105"/>
    </row>
    <row r="81" spans="43:94" x14ac:dyDescent="0.25">
      <c r="CE81" s="82"/>
      <c r="CF81" s="83"/>
      <c r="CG81" s="84"/>
      <c r="CH81" s="106"/>
      <c r="CI81" s="103"/>
      <c r="CJ81" s="85"/>
      <c r="CK81" s="84"/>
      <c r="CL81" s="107"/>
      <c r="CM81" s="103"/>
      <c r="CN81" s="86"/>
      <c r="CO81" s="105"/>
      <c r="CP81" s="105"/>
    </row>
    <row r="82" spans="43:94" x14ac:dyDescent="0.25">
      <c r="CE82" s="82"/>
      <c r="CF82" s="83"/>
      <c r="CG82" s="84"/>
      <c r="CH82" s="106"/>
      <c r="CI82" s="103"/>
      <c r="CJ82" s="85"/>
      <c r="CK82" s="84"/>
      <c r="CL82" s="107"/>
      <c r="CM82" s="103"/>
      <c r="CN82" s="86"/>
      <c r="CO82" s="105"/>
      <c r="CP82" s="105"/>
    </row>
    <row r="83" spans="43:94" ht="15.75" thickBot="1" x14ac:dyDescent="0.3">
      <c r="CE83" s="82"/>
      <c r="CF83" s="87"/>
      <c r="CG83" s="88"/>
      <c r="CH83" s="108"/>
      <c r="CI83" s="103"/>
      <c r="CJ83" s="89"/>
      <c r="CK83" s="115"/>
      <c r="CL83" s="109"/>
      <c r="CM83" s="103"/>
      <c r="CN83" s="90"/>
      <c r="CO83" s="110"/>
      <c r="CP83" s="110"/>
    </row>
    <row r="84" spans="43:94" ht="15.75" customHeight="1" thickTop="1" thickBot="1" x14ac:dyDescent="0.3"/>
    <row r="85" spans="43:94" ht="15.75" thickBot="1" x14ac:dyDescent="0.3">
      <c r="CE85" s="100" t="s">
        <v>141</v>
      </c>
      <c r="CF85" s="254" t="s">
        <v>81</v>
      </c>
      <c r="CG85" s="255"/>
      <c r="CH85" s="256"/>
      <c r="CI85" s="103"/>
      <c r="CJ85" s="257" t="s">
        <v>82</v>
      </c>
      <c r="CK85" s="258"/>
      <c r="CL85" s="259"/>
      <c r="CM85" s="103"/>
      <c r="CN85" s="260" t="s">
        <v>83</v>
      </c>
      <c r="CO85" s="261"/>
      <c r="CP85" s="262"/>
    </row>
    <row r="86" spans="43:94" x14ac:dyDescent="0.25">
      <c r="CE86" s="92"/>
      <c r="CF86" s="95"/>
      <c r="CG86" s="95" t="s">
        <v>84</v>
      </c>
      <c r="CH86" s="112" t="s">
        <v>85</v>
      </c>
      <c r="CI86" s="103"/>
      <c r="CJ86" s="95"/>
      <c r="CK86" s="95" t="s">
        <v>84</v>
      </c>
      <c r="CL86" s="112" t="s">
        <v>85</v>
      </c>
      <c r="CM86" s="103"/>
      <c r="CN86" s="95"/>
      <c r="CO86" s="112" t="s">
        <v>84</v>
      </c>
      <c r="CP86" s="112" t="s">
        <v>85</v>
      </c>
    </row>
    <row r="87" spans="43:94" ht="15.75" thickBot="1" x14ac:dyDescent="0.3">
      <c r="CE87" s="93" t="s">
        <v>27</v>
      </c>
      <c r="CF87" s="96" t="s">
        <v>86</v>
      </c>
      <c r="CG87" s="96" t="s">
        <v>87</v>
      </c>
      <c r="CH87" s="113" t="s">
        <v>87</v>
      </c>
      <c r="CI87" s="103"/>
      <c r="CJ87" s="96" t="s">
        <v>86</v>
      </c>
      <c r="CK87" s="96" t="s">
        <v>87</v>
      </c>
      <c r="CL87" s="113" t="s">
        <v>87</v>
      </c>
      <c r="CM87" s="103"/>
      <c r="CN87" s="96" t="s">
        <v>86</v>
      </c>
      <c r="CO87" s="113" t="s">
        <v>87</v>
      </c>
      <c r="CP87" s="113" t="s">
        <v>87</v>
      </c>
    </row>
    <row r="88" spans="43:94" x14ac:dyDescent="0.25">
      <c r="AQ88" s="20"/>
      <c r="AR88" s="20"/>
      <c r="AS88" s="20"/>
      <c r="CE88" s="91">
        <v>42780</v>
      </c>
      <c r="CF88" s="94">
        <v>1</v>
      </c>
      <c r="CG88" s="97">
        <v>168</v>
      </c>
      <c r="CH88" s="102">
        <f>CF88*CG88</f>
        <v>168</v>
      </c>
      <c r="CI88" s="103"/>
      <c r="CJ88" s="98"/>
      <c r="CK88" s="97"/>
      <c r="CL88" s="104"/>
      <c r="CM88" s="103"/>
      <c r="CN88" s="99">
        <f>CF88</f>
        <v>1</v>
      </c>
      <c r="CO88" s="101">
        <f>CG88</f>
        <v>168</v>
      </c>
      <c r="CP88" s="101">
        <f>CN88*CO88</f>
        <v>168</v>
      </c>
    </row>
    <row r="89" spans="43:94" x14ac:dyDescent="0.25">
      <c r="CE89" s="82"/>
      <c r="CF89" s="83"/>
      <c r="CG89" s="84"/>
      <c r="CH89" s="106"/>
      <c r="CI89" s="103"/>
      <c r="CJ89" s="85"/>
      <c r="CK89" s="84"/>
      <c r="CL89" s="107"/>
      <c r="CM89" s="103"/>
      <c r="CN89" s="86"/>
      <c r="CO89" s="105"/>
      <c r="CP89" s="105"/>
    </row>
    <row r="90" spans="43:94" x14ac:dyDescent="0.25">
      <c r="CE90" s="82"/>
      <c r="CF90" s="83"/>
      <c r="CG90" s="84"/>
      <c r="CH90" s="106"/>
      <c r="CI90" s="103"/>
      <c r="CJ90" s="85"/>
      <c r="CK90" s="84"/>
      <c r="CL90" s="107"/>
      <c r="CM90" s="103"/>
      <c r="CN90" s="86"/>
      <c r="CO90" s="105"/>
      <c r="CP90" s="105"/>
    </row>
    <row r="93" spans="43:94" x14ac:dyDescent="0.25">
      <c r="CJ93" s="17" t="s">
        <v>85</v>
      </c>
      <c r="CP93" s="111">
        <f>CP11+CP21+CP31+CP43+CP56+CP68+CP78+CP88</f>
        <v>1712</v>
      </c>
    </row>
    <row r="95" spans="43:94" ht="15.75" customHeight="1" x14ac:dyDescent="0.25"/>
  </sheetData>
  <sheetProtection algorithmName="SHA-512" hashValue="7/IfzaDxVA79THMSAwLRx+ku4tuaszROxrPw0yVcUuKUcIXkAUrjv64QO6+fbDyUtduVFRfmLywUdjc+mrTYrQ==" saltValue="lJ8DDyxb14h4fAanfBklFw==" spinCount="100000" sheet="1" formatCells="0" formatColumns="0" formatRows="0" insertColumns="0" insertRows="0" insertHyperlinks="0" deleteColumns="0" deleteRows="0" selectLockedCells="1" sort="0" autoFilter="0" pivotTables="0"/>
  <mergeCells count="28">
    <mergeCell ref="CF52:CH52"/>
    <mergeCell ref="CJ52:CL52"/>
    <mergeCell ref="CN52:CP52"/>
    <mergeCell ref="CF85:CH85"/>
    <mergeCell ref="CJ85:CL85"/>
    <mergeCell ref="CN85:CP85"/>
    <mergeCell ref="CF63:CH63"/>
    <mergeCell ref="CJ63:CL63"/>
    <mergeCell ref="CN63:CP63"/>
    <mergeCell ref="CF74:CH74"/>
    <mergeCell ref="CJ74:CL74"/>
    <mergeCell ref="CN74:CP74"/>
    <mergeCell ref="CF28:CH28"/>
    <mergeCell ref="CJ28:CL28"/>
    <mergeCell ref="CN28:CP28"/>
    <mergeCell ref="CF39:CH39"/>
    <mergeCell ref="CJ39:CL39"/>
    <mergeCell ref="CN39:CP39"/>
    <mergeCell ref="CJ2:CL2"/>
    <mergeCell ref="CN2:CP2"/>
    <mergeCell ref="CF17:CH17"/>
    <mergeCell ref="CJ17:CL17"/>
    <mergeCell ref="CN17:CP17"/>
    <mergeCell ref="AK3:AK4"/>
    <mergeCell ref="AL3:AO3"/>
    <mergeCell ref="AL1:AM1"/>
    <mergeCell ref="AL2:AM2"/>
    <mergeCell ref="CF2:CH2"/>
  </mergeCells>
  <conditionalFormatting sqref="AK38">
    <cfRule type="cellIs" dxfId="8" priority="1" operator="lessThan">
      <formula>-1</formula>
    </cfRule>
    <cfRule type="cellIs" dxfId="7" priority="2" operator="greaterThan">
      <formula>1</formula>
    </cfRule>
    <cfRule type="cellIs" dxfId="6" priority="3" operator="between">
      <formula>-1</formula>
      <formula>1</formula>
    </cfRule>
  </conditionalFormatting>
  <conditionalFormatting sqref="AL3">
    <cfRule type="cellIs" dxfId="5" priority="4" operator="greaterThan">
      <formula>$AJ$2</formula>
    </cfRule>
    <cfRule type="cellIs" dxfId="4" priority="5" operator="lessThan">
      <formula>$AJ$2</formula>
    </cfRule>
    <cfRule type="cellIs" dxfId="3" priority="6" operator="lessThan">
      <formula>$AJ$2</formula>
    </cfRule>
  </conditionalFormatting>
  <conditionalFormatting sqref="AL3">
    <cfRule type="cellIs" dxfId="2" priority="7" operator="lessThan">
      <formula>$AJ$2</formula>
    </cfRule>
    <cfRule type="cellIs" dxfId="1" priority="8" operator="greaterThan">
      <formula>$AJ$2</formula>
    </cfRule>
    <cfRule type="cellIs" dxfId="0" priority="9" operator="equal">
      <formula>$AJ$2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3"/>
  <sheetViews>
    <sheetView zoomScale="110" zoomScaleNormal="110" workbookViewId="0">
      <selection activeCell="A28" sqref="A28:B37"/>
    </sheetView>
  </sheetViews>
  <sheetFormatPr defaultRowHeight="15" x14ac:dyDescent="0.25"/>
  <cols>
    <col min="1" max="1" width="29.85546875" style="17" customWidth="1"/>
    <col min="2" max="2" width="9.140625" style="17"/>
    <col min="3" max="3" width="10" style="17" customWidth="1"/>
    <col min="4" max="4" width="9.140625" style="17"/>
    <col min="5" max="5" width="23.7109375" style="17" customWidth="1"/>
    <col min="6" max="6" width="9.140625" style="17"/>
    <col min="7" max="7" width="10.140625" style="17" customWidth="1"/>
  </cols>
  <sheetData>
    <row r="1" spans="1:7" ht="18.75" x14ac:dyDescent="0.3">
      <c r="A1" s="80" t="s">
        <v>19</v>
      </c>
      <c r="B1" s="80"/>
      <c r="C1" s="80"/>
      <c r="D1" s="80"/>
      <c r="E1" s="80"/>
      <c r="F1" s="80"/>
      <c r="G1" s="80"/>
    </row>
    <row r="2" spans="1:7" x14ac:dyDescent="0.25">
      <c r="A2" s="12" t="str">
        <f>+'Trial Balance Feb'!BW2</f>
        <v>Assets</v>
      </c>
      <c r="B2" s="12"/>
      <c r="C2" s="12"/>
      <c r="D2" s="12"/>
      <c r="E2" s="12" t="s">
        <v>12</v>
      </c>
      <c r="F2" s="12"/>
      <c r="G2" s="12"/>
    </row>
    <row r="3" spans="1:7" x14ac:dyDescent="0.25">
      <c r="A3" s="12" t="s">
        <v>20</v>
      </c>
      <c r="B3" s="12"/>
      <c r="C3" s="12"/>
      <c r="D3" s="12"/>
      <c r="E3" s="12" t="s">
        <v>65</v>
      </c>
      <c r="F3" s="12"/>
      <c r="G3" s="12"/>
    </row>
    <row r="4" spans="1:7" x14ac:dyDescent="0.25">
      <c r="A4" s="29" t="str">
        <f>+'Trial Balance Feb'!BW4</f>
        <v>Cash</v>
      </c>
      <c r="B4" s="12">
        <f>+'Trial Balance Feb'!BX4</f>
        <v>99116.799499999994</v>
      </c>
      <c r="C4" s="12"/>
      <c r="D4" s="12"/>
      <c r="E4" s="29" t="str">
        <f>+'Trial Balance Feb'!CA4</f>
        <v>Accounts Payable</v>
      </c>
      <c r="F4" s="12">
        <f>+'Trial Balance Feb'!CB4</f>
        <v>1200</v>
      </c>
      <c r="G4" s="12"/>
    </row>
    <row r="5" spans="1:7" x14ac:dyDescent="0.25">
      <c r="A5" s="29" t="str">
        <f>+'Trial Balance Feb'!BW5</f>
        <v>Accounts Receivable</v>
      </c>
      <c r="B5" s="12">
        <f>+'Trial Balance Feb'!BX5</f>
        <v>10449.27</v>
      </c>
      <c r="C5" s="12"/>
      <c r="D5" s="12"/>
      <c r="E5" s="29" t="str">
        <f>+'Trial Balance Feb'!CA5</f>
        <v>Credit card</v>
      </c>
      <c r="F5" s="12">
        <f>+'Trial Balance Feb'!CB5</f>
        <v>1000</v>
      </c>
      <c r="G5" s="12"/>
    </row>
    <row r="6" spans="1:7" x14ac:dyDescent="0.25">
      <c r="A6" s="29" t="str">
        <f>+'Trial Balance Feb'!BW6</f>
        <v>Inventory Asset</v>
      </c>
      <c r="B6" s="12">
        <f>+'Trial Balance Feb'!BX6</f>
        <v>1713</v>
      </c>
      <c r="C6" s="12"/>
      <c r="D6" s="12"/>
      <c r="E6" s="29" t="str">
        <f>+'Trial Balance Feb'!CA6</f>
        <v>Interest Payable</v>
      </c>
      <c r="F6" s="12">
        <f>+'Trial Balance Feb'!CB6</f>
        <v>0</v>
      </c>
      <c r="G6" s="12"/>
    </row>
    <row r="7" spans="1:7" x14ac:dyDescent="0.25">
      <c r="A7" s="29" t="str">
        <f>+'Trial Balance Feb'!BW7</f>
        <v>Prepaid Insurance</v>
      </c>
      <c r="B7" s="12">
        <f>+'Trial Balance Feb'!BX7</f>
        <v>11000</v>
      </c>
      <c r="C7" s="12"/>
      <c r="D7" s="12"/>
      <c r="E7" s="29" t="str">
        <f>+'Trial Balance Feb'!CA7</f>
        <v>Loan Payable - Current</v>
      </c>
      <c r="F7" s="12">
        <f>+'Trial Balance Feb'!CB7</f>
        <v>0</v>
      </c>
      <c r="G7" s="12"/>
    </row>
    <row r="8" spans="1:7" x14ac:dyDescent="0.25">
      <c r="A8" s="29" t="str">
        <f>+'Trial Balance Feb'!BW8</f>
        <v>Short-Term Investments</v>
      </c>
      <c r="B8" s="12">
        <f>+'Trial Balance Feb'!BX8</f>
        <v>0</v>
      </c>
      <c r="C8" s="12"/>
      <c r="D8" s="12"/>
      <c r="E8" s="29" t="str">
        <f>+'Trial Balance Feb'!CA8</f>
        <v>Payroll Liability</v>
      </c>
      <c r="F8" s="12">
        <f>+'Trial Balance Feb'!CB8</f>
        <v>1653.5990000000002</v>
      </c>
      <c r="G8" s="12"/>
    </row>
    <row r="9" spans="1:7" x14ac:dyDescent="0.25">
      <c r="A9" s="29" t="str">
        <f>+'Trial Balance Feb'!BW9</f>
        <v>Undeposited Funds</v>
      </c>
      <c r="B9" s="31">
        <f>+'Trial Balance Feb'!BX9</f>
        <v>4499.5</v>
      </c>
      <c r="C9" s="12"/>
      <c r="D9" s="12"/>
      <c r="E9" s="29" t="str">
        <f>+'Trial Balance Feb'!CA9</f>
        <v>Sales Tax Payable</v>
      </c>
      <c r="F9" s="12">
        <f>+'Trial Balance Feb'!CB9</f>
        <v>100.37</v>
      </c>
      <c r="G9" s="12"/>
    </row>
    <row r="10" spans="1:7" x14ac:dyDescent="0.25">
      <c r="A10" s="30" t="s">
        <v>38</v>
      </c>
      <c r="B10" s="12"/>
      <c r="C10" s="12">
        <f>SUM(B4:B9)</f>
        <v>126778.5695</v>
      </c>
      <c r="D10" s="12"/>
      <c r="E10" s="29" t="str">
        <f>+'Trial Balance Feb'!CA10</f>
        <v>Unearned Revenue</v>
      </c>
      <c r="F10" s="31">
        <f>+'Trial Balance Feb'!CB10</f>
        <v>0</v>
      </c>
      <c r="G10" s="12"/>
    </row>
    <row r="11" spans="1:7" x14ac:dyDescent="0.25">
      <c r="A11" s="12" t="s">
        <v>70</v>
      </c>
      <c r="B11" s="12"/>
      <c r="C11" s="12"/>
      <c r="D11" s="12"/>
      <c r="E11" s="30" t="s">
        <v>67</v>
      </c>
      <c r="F11" s="12"/>
      <c r="G11" s="12">
        <f>SUM(F4:F10)</f>
        <v>3953.9690000000001</v>
      </c>
    </row>
    <row r="12" spans="1:7" x14ac:dyDescent="0.25">
      <c r="A12" s="12" t="str">
        <f>+'Trial Balance Feb'!BW12</f>
        <v>Furniture &amp; Equipment</v>
      </c>
      <c r="B12" s="12">
        <f>+'Trial Balance Feb'!BX12</f>
        <v>103000</v>
      </c>
      <c r="C12" s="12"/>
      <c r="D12" s="12"/>
      <c r="E12" s="12" t="str">
        <f>+'Trial Balance Feb'!CA12</f>
        <v>Loan Payable -  Long Term</v>
      </c>
      <c r="F12" s="12"/>
      <c r="G12" s="31">
        <f>+'Trial Balance Feb'!CC12</f>
        <v>74878</v>
      </c>
    </row>
    <row r="13" spans="1:7" x14ac:dyDescent="0.25">
      <c r="A13" s="29" t="s">
        <v>63</v>
      </c>
      <c r="B13" s="31">
        <f>+'Trial Balance Feb'!BX13</f>
        <v>0</v>
      </c>
      <c r="C13" s="12"/>
      <c r="D13" s="12"/>
      <c r="E13" s="12" t="s">
        <v>21</v>
      </c>
      <c r="F13" s="12"/>
      <c r="G13" s="12">
        <f>+SUM(G11:G12)</f>
        <v>78831.968999999997</v>
      </c>
    </row>
    <row r="14" spans="1:7" x14ac:dyDescent="0.25">
      <c r="A14" s="30" t="s">
        <v>64</v>
      </c>
      <c r="B14" s="12"/>
      <c r="C14" s="31">
        <f>+B12-B13</f>
        <v>103000</v>
      </c>
      <c r="D14" s="12"/>
      <c r="E14" s="12" t="s">
        <v>35</v>
      </c>
      <c r="F14" s="12"/>
      <c r="G14" s="12"/>
    </row>
    <row r="15" spans="1:7" x14ac:dyDescent="0.25">
      <c r="A15" s="12"/>
      <c r="B15" s="12"/>
      <c r="C15" s="12"/>
      <c r="D15" s="32"/>
      <c r="E15" s="29" t="str">
        <f>+'Trial Balance Feb'!CA15</f>
        <v>Owners Equity</v>
      </c>
      <c r="F15" s="12"/>
      <c r="G15" s="142">
        <f>+'Trial Balance Feb'!CC15</f>
        <v>150946.6005</v>
      </c>
    </row>
    <row r="16" spans="1:7" x14ac:dyDescent="0.25">
      <c r="A16" s="12"/>
      <c r="B16" s="12"/>
      <c r="C16" s="12"/>
      <c r="D16" s="32"/>
      <c r="E16" s="12"/>
      <c r="F16" s="12"/>
      <c r="G16" s="12"/>
    </row>
    <row r="17" spans="1:7" x14ac:dyDescent="0.25">
      <c r="A17" s="12" t="s">
        <v>31</v>
      </c>
      <c r="B17" s="12"/>
      <c r="C17" s="32">
        <f>SUM(C10:C14)</f>
        <v>229778.56949999998</v>
      </c>
      <c r="D17" s="32"/>
      <c r="E17" s="12" t="s">
        <v>68</v>
      </c>
      <c r="F17" s="12"/>
      <c r="G17" s="32">
        <f>+SUM(G13:G16)</f>
        <v>229778.56949999998</v>
      </c>
    </row>
    <row r="19" spans="1:7" ht="18.75" x14ac:dyDescent="0.3">
      <c r="A19" s="80" t="s">
        <v>22</v>
      </c>
      <c r="B19" s="80"/>
      <c r="C19" s="80"/>
    </row>
    <row r="20" spans="1:7" x14ac:dyDescent="0.25">
      <c r="A20" s="12" t="s">
        <v>34</v>
      </c>
      <c r="B20" s="12"/>
      <c r="C20" s="12"/>
    </row>
    <row r="21" spans="1:7" x14ac:dyDescent="0.25">
      <c r="A21" s="29" t="str">
        <f>+'Trial Balance Feb'!BW21</f>
        <v>Merchandise Sales</v>
      </c>
      <c r="B21" s="12">
        <f>+'Trial Balance Feb'!BX21+'Trial Balance'!BX21</f>
        <v>4467.8</v>
      </c>
      <c r="C21" s="12"/>
    </row>
    <row r="22" spans="1:7" x14ac:dyDescent="0.25">
      <c r="A22" s="29" t="str">
        <f>+'Trial Balance Feb'!BW22</f>
        <v>Rent Music Equipment</v>
      </c>
      <c r="B22" s="12">
        <f>+'Trial Balance Feb'!BX22+'Trial Balance'!BX22</f>
        <v>4500</v>
      </c>
      <c r="C22" s="12"/>
      <c r="D22" s="20"/>
      <c r="E22" s="20"/>
      <c r="F22" s="20"/>
      <c r="G22" s="20"/>
    </row>
    <row r="23" spans="1:7" x14ac:dyDescent="0.25">
      <c r="A23" s="29" t="str">
        <f>+'Trial Balance Feb'!BW23</f>
        <v>Service</v>
      </c>
      <c r="B23" s="31">
        <f>+'Trial Balance Feb'!BX23+'Trial Balance'!BX23</f>
        <v>9808</v>
      </c>
      <c r="C23" s="12"/>
      <c r="D23" s="20"/>
      <c r="E23" s="20"/>
      <c r="F23" s="20"/>
      <c r="G23" s="20"/>
    </row>
    <row r="24" spans="1:7" x14ac:dyDescent="0.25">
      <c r="A24" s="30" t="s">
        <v>72</v>
      </c>
      <c r="B24" s="12"/>
      <c r="C24" s="12">
        <f>SUM(B21:B23)</f>
        <v>18775.8</v>
      </c>
      <c r="D24" s="20"/>
      <c r="E24" s="20"/>
      <c r="F24" s="20"/>
      <c r="G24" s="20"/>
    </row>
    <row r="25" spans="1:7" x14ac:dyDescent="0.25">
      <c r="A25" s="12" t="s">
        <v>47</v>
      </c>
      <c r="B25" s="12"/>
      <c r="C25" s="31">
        <f>+'Trial Balance Feb'!BY25+'Trial Balance'!BY25</f>
        <v>3550</v>
      </c>
      <c r="D25" s="20"/>
      <c r="E25" s="20"/>
      <c r="F25" s="20"/>
      <c r="G25" s="20"/>
    </row>
    <row r="26" spans="1:7" x14ac:dyDescent="0.25">
      <c r="A26" s="12" t="s">
        <v>73</v>
      </c>
      <c r="B26" s="12"/>
      <c r="C26" s="12">
        <f>+C24-C25</f>
        <v>15225.8</v>
      </c>
      <c r="D26" s="20"/>
      <c r="E26" s="20"/>
      <c r="F26" s="20"/>
      <c r="G26" s="20"/>
    </row>
    <row r="27" spans="1:7" x14ac:dyDescent="0.25">
      <c r="A27" s="12" t="s">
        <v>23</v>
      </c>
      <c r="B27" s="12"/>
      <c r="C27" s="12"/>
      <c r="D27" s="20"/>
      <c r="E27" s="20"/>
      <c r="F27" s="20"/>
      <c r="G27" s="20"/>
    </row>
    <row r="28" spans="1:7" x14ac:dyDescent="0.25">
      <c r="A28" s="29" t="str">
        <f>+'Trial Balance Feb'!BW28</f>
        <v>Bank Service Charges</v>
      </c>
      <c r="B28" s="12">
        <f>+'Trial Balance Feb'!BX28+'Trial Balance'!BX28</f>
        <v>15</v>
      </c>
      <c r="C28" s="12"/>
    </row>
    <row r="29" spans="1:7" x14ac:dyDescent="0.25">
      <c r="A29" s="29" t="str">
        <f>+'Trial Balance Feb'!BW29</f>
        <v>Depreciation Expense</v>
      </c>
      <c r="B29" s="12">
        <f>+'Trial Balance Feb'!BX29+'Trial Balance'!BX29</f>
        <v>0</v>
      </c>
      <c r="C29" s="12"/>
    </row>
    <row r="30" spans="1:7" x14ac:dyDescent="0.25">
      <c r="A30" s="29" t="str">
        <f>+'Trial Balance Feb'!BW30</f>
        <v>Insurance Expense</v>
      </c>
      <c r="B30" s="12">
        <f>+'Trial Balance Feb'!BX30+'Trial Balance'!BX30</f>
        <v>0</v>
      </c>
      <c r="C30" s="12"/>
      <c r="D30" s="20"/>
      <c r="E30" s="20"/>
      <c r="F30" s="20"/>
      <c r="G30" s="20"/>
    </row>
    <row r="31" spans="1:7" x14ac:dyDescent="0.25">
      <c r="A31" s="29" t="str">
        <f>+'Trial Balance Feb'!BW31</f>
        <v>Interest Expense</v>
      </c>
      <c r="B31" s="12">
        <f>+'Trial Balance Feb'!BX31+'Trial Balance'!BX31</f>
        <v>596</v>
      </c>
      <c r="C31" s="12"/>
    </row>
    <row r="32" spans="1:7" x14ac:dyDescent="0.25">
      <c r="A32" s="29" t="str">
        <f>+'Trial Balance Feb'!BW32</f>
        <v>Internet Expense</v>
      </c>
      <c r="B32" s="12">
        <f>+'Trial Balance Feb'!BX32+'Trial Balance'!BX32</f>
        <v>180</v>
      </c>
      <c r="C32" s="12"/>
    </row>
    <row r="33" spans="1:3" x14ac:dyDescent="0.25">
      <c r="A33" s="29" t="str">
        <f>+'Trial Balance Feb'!BW33</f>
        <v>Misc. Expense</v>
      </c>
      <c r="B33" s="12">
        <f>+'Trial Balance Feb'!BX33+'Trial Balance'!BX33</f>
        <v>80</v>
      </c>
      <c r="C33" s="12"/>
    </row>
    <row r="34" spans="1:3" x14ac:dyDescent="0.25">
      <c r="A34" s="29" t="str">
        <f>+'Trial Balance Feb'!BW34</f>
        <v>Office Supplies</v>
      </c>
      <c r="B34" s="12">
        <f>+'Trial Balance Feb'!BX34+'Trial Balance'!BX34</f>
        <v>500</v>
      </c>
      <c r="C34" s="12"/>
    </row>
    <row r="35" spans="1:3" x14ac:dyDescent="0.25">
      <c r="A35" s="29" t="str">
        <f>+'Trial Balance Feb'!BW35</f>
        <v>Payroll Expenses</v>
      </c>
      <c r="B35" s="12">
        <f>+'Trial Balance Feb'!BX35+'Trial Balance'!BX35</f>
        <v>11561.799500000001</v>
      </c>
      <c r="C35" s="12"/>
    </row>
    <row r="36" spans="1:3" x14ac:dyDescent="0.25">
      <c r="A36" s="29" t="str">
        <f>+'Trial Balance Feb'!BW36</f>
        <v>Telephone Expense</v>
      </c>
      <c r="B36" s="12">
        <f>+'Trial Balance Feb'!BX36+'Trial Balance'!BX36</f>
        <v>725</v>
      </c>
      <c r="C36" s="12"/>
    </row>
    <row r="37" spans="1:3" x14ac:dyDescent="0.25">
      <c r="A37" s="29" t="str">
        <f>+'Trial Balance Feb'!BW37</f>
        <v>Utilities</v>
      </c>
      <c r="B37" s="31">
        <f>+'Trial Balance Feb'!BX37+'Trial Balance'!BX37</f>
        <v>1268</v>
      </c>
      <c r="C37" s="12"/>
    </row>
    <row r="38" spans="1:3" x14ac:dyDescent="0.25">
      <c r="A38" s="30" t="s">
        <v>24</v>
      </c>
      <c r="B38" s="12"/>
      <c r="C38" s="31">
        <f>SUM(B28:B37)</f>
        <v>14925.799500000001</v>
      </c>
    </row>
    <row r="39" spans="1:3" x14ac:dyDescent="0.25">
      <c r="A39" s="12" t="s">
        <v>74</v>
      </c>
      <c r="B39" s="12"/>
      <c r="C39" s="12">
        <f>+C26-C38</f>
        <v>300.00049999999828</v>
      </c>
    </row>
    <row r="40" spans="1:3" x14ac:dyDescent="0.25">
      <c r="A40" s="12" t="s">
        <v>124</v>
      </c>
      <c r="B40" s="12"/>
      <c r="C40" s="12"/>
    </row>
    <row r="41" spans="1:3" x14ac:dyDescent="0.25">
      <c r="A41" s="29" t="str">
        <f>+'Trial Balance Feb'!BW41</f>
        <v>Interest Income</v>
      </c>
      <c r="B41" s="12"/>
      <c r="C41" s="31">
        <f>+'Trial Balance Feb'!BY41+'Trial Balance'!BY41</f>
        <v>250</v>
      </c>
    </row>
    <row r="42" spans="1:3" x14ac:dyDescent="0.25">
      <c r="A42" s="12" t="s">
        <v>75</v>
      </c>
      <c r="B42" s="12"/>
      <c r="C42" s="143">
        <f>+SUM(C39:C41)</f>
        <v>550.00049999999828</v>
      </c>
    </row>
    <row r="44" spans="1:3" ht="18.75" x14ac:dyDescent="0.3">
      <c r="A44" s="80" t="s">
        <v>25</v>
      </c>
      <c r="B44" s="80"/>
      <c r="C44" s="80"/>
    </row>
    <row r="45" spans="1:3" x14ac:dyDescent="0.25">
      <c r="A45" s="12" t="s">
        <v>76</v>
      </c>
      <c r="B45" s="12"/>
      <c r="C45" s="12">
        <f>+'Trial Balance'!BY45</f>
        <v>85397</v>
      </c>
    </row>
    <row r="46" spans="1:3" x14ac:dyDescent="0.25">
      <c r="A46" s="12" t="s">
        <v>78</v>
      </c>
      <c r="B46" s="12">
        <f>+'Trial Balance Feb'!BX46+'Trial Balance'!BX46</f>
        <v>65000</v>
      </c>
      <c r="C46" s="12"/>
    </row>
    <row r="47" spans="1:3" x14ac:dyDescent="0.25">
      <c r="A47" s="12" t="s">
        <v>75</v>
      </c>
      <c r="B47" s="142">
        <f>C42</f>
        <v>550.00049999999828</v>
      </c>
      <c r="C47" s="12"/>
    </row>
    <row r="48" spans="1:3" x14ac:dyDescent="0.25">
      <c r="A48" s="12" t="s">
        <v>26</v>
      </c>
      <c r="B48" s="31">
        <f>+'Trial Balance'!BX48+'Trial Balance Feb'!BX48</f>
        <v>0</v>
      </c>
      <c r="C48" s="12"/>
    </row>
    <row r="49" spans="1:3" x14ac:dyDescent="0.25">
      <c r="A49" s="12" t="s">
        <v>125</v>
      </c>
      <c r="B49" s="12"/>
      <c r="C49" s="31">
        <f>SUM(B46:B48)</f>
        <v>65550.000499999995</v>
      </c>
    </row>
    <row r="50" spans="1:3" x14ac:dyDescent="0.25">
      <c r="A50" s="12" t="s">
        <v>79</v>
      </c>
      <c r="B50" s="12"/>
      <c r="C50" s="143">
        <f>SUM(C45:C49)</f>
        <v>150947.00049999999</v>
      </c>
    </row>
    <row r="70" spans="1:3" x14ac:dyDescent="0.25">
      <c r="A70" s="12" t="s">
        <v>80</v>
      </c>
      <c r="B70" s="12">
        <f>+C42</f>
        <v>550.00049999999828</v>
      </c>
      <c r="C70" s="12"/>
    </row>
    <row r="71" spans="1:3" x14ac:dyDescent="0.25">
      <c r="A71" s="12" t="s">
        <v>26</v>
      </c>
      <c r="B71" s="12" t="e">
        <f>+#REF!</f>
        <v>#REF!</v>
      </c>
      <c r="C71" s="12"/>
    </row>
    <row r="72" spans="1:3" x14ac:dyDescent="0.25">
      <c r="A72" s="12" t="s">
        <v>77</v>
      </c>
      <c r="B72" s="12"/>
      <c r="C72" s="12" t="e">
        <f>+B46+B70+B71</f>
        <v>#REF!</v>
      </c>
    </row>
    <row r="73" spans="1:3" x14ac:dyDescent="0.25">
      <c r="A73" s="12" t="s">
        <v>79</v>
      </c>
      <c r="B73" s="12"/>
      <c r="C73" s="32" t="e">
        <f>C45+C72</f>
        <v>#REF!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Trial Balance</vt:lpstr>
      <vt:lpstr>Jan Close</vt:lpstr>
      <vt:lpstr>Trial Balance Feb</vt:lpstr>
      <vt:lpstr>Financial Statements two months</vt:lpstr>
    </vt:vector>
  </TitlesOfParts>
  <Company>Charter College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Charter College</dc:creator>
  <cp:lastModifiedBy>DELL</cp:lastModifiedBy>
  <cp:lastPrinted>2016-08-05T17:23:28Z</cp:lastPrinted>
  <dcterms:created xsi:type="dcterms:W3CDTF">2010-09-15T18:39:54Z</dcterms:created>
  <dcterms:modified xsi:type="dcterms:W3CDTF">2019-02-11T11:31:45Z</dcterms:modified>
</cp:coreProperties>
</file>