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128E8A1B-9DB5-449C-9B92-20A44CAE4E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خارجی" sheetId="1" r:id="rId1"/>
    <sheet name="آمار کلی" sheetId="2" r:id="rId2"/>
    <sheet name="مقایسه با کل آثار سایت" sheetId="4" r:id="rId3"/>
    <sheet name="تعداد آثار براساس قالب" sheetId="5" r:id="rId4"/>
    <sheet name="دقایق تماشا براساس قالب" sheetId="6" r:id="rId5"/>
    <sheet name="درخواست تماشا براساس قالب" sheetId="7" r:id="rId6"/>
    <sheet name="دانلود براساس قالب" sheetId="8" r:id="rId7"/>
    <sheet name="تماشا براساس زبان" sheetId="10" r:id="rId8"/>
  </sheets>
  <definedNames>
    <definedName name="_xlnm._FilterDatabase" localSheetId="0" hidden="1">'جزئیات فیلمهای خارجی'!$A$1:$K$486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0" i="1" l="1"/>
  <c r="K416" i="1"/>
  <c r="K477" i="1"/>
  <c r="K475" i="1"/>
  <c r="K417" i="1"/>
  <c r="K415" i="1"/>
  <c r="K414" i="1"/>
  <c r="K413" i="1"/>
  <c r="K412" i="1"/>
  <c r="K411" i="1"/>
  <c r="K410" i="1"/>
  <c r="K409" i="1"/>
  <c r="K408" i="1"/>
  <c r="K407" i="1"/>
  <c r="K406" i="1"/>
  <c r="K404" i="1"/>
  <c r="K393" i="1"/>
  <c r="K392" i="1"/>
  <c r="K391" i="1"/>
  <c r="K390" i="1"/>
  <c r="K389" i="1"/>
  <c r="K388" i="1"/>
  <c r="K385" i="1"/>
  <c r="K384" i="1"/>
  <c r="K383" i="1"/>
  <c r="K382" i="1"/>
  <c r="K378" i="1"/>
  <c r="K377" i="1"/>
  <c r="K376" i="1"/>
  <c r="K364" i="1"/>
  <c r="K363" i="1"/>
  <c r="K362" i="1"/>
  <c r="K361" i="1"/>
  <c r="K359" i="1"/>
  <c r="K358" i="1"/>
  <c r="K357" i="1"/>
  <c r="K356" i="1"/>
  <c r="K355" i="1"/>
  <c r="K354" i="1"/>
  <c r="K353" i="1"/>
  <c r="K352" i="1"/>
  <c r="K351" i="1"/>
  <c r="K349" i="1"/>
  <c r="K348" i="1"/>
  <c r="K347" i="1"/>
  <c r="K345" i="1"/>
  <c r="K344" i="1"/>
  <c r="K343" i="1"/>
  <c r="K342" i="1"/>
  <c r="K341" i="1"/>
  <c r="K340" i="1"/>
  <c r="K339" i="1"/>
  <c r="K338" i="1"/>
  <c r="K337" i="1"/>
  <c r="K336" i="1"/>
  <c r="K335" i="1"/>
  <c r="K330" i="1"/>
  <c r="K322" i="1"/>
  <c r="K321" i="1"/>
  <c r="K320" i="1"/>
  <c r="K319" i="1"/>
  <c r="K318" i="1"/>
  <c r="K317" i="1"/>
  <c r="K316" i="1"/>
  <c r="K314" i="1"/>
  <c r="K313" i="1"/>
  <c r="K312" i="1"/>
  <c r="K311" i="1"/>
  <c r="K308" i="1"/>
  <c r="K306" i="1"/>
  <c r="K289" i="1" l="1"/>
  <c r="K288" i="1"/>
  <c r="K286" i="1"/>
  <c r="K280" i="1"/>
  <c r="K279" i="1"/>
  <c r="K278" i="1"/>
  <c r="K277" i="1"/>
  <c r="K276" i="1"/>
  <c r="K275" i="1"/>
  <c r="K274" i="1"/>
  <c r="K267" i="1"/>
  <c r="K266" i="1"/>
  <c r="K265" i="1"/>
  <c r="K264" i="1"/>
  <c r="K263" i="1"/>
  <c r="K258" i="1"/>
  <c r="K255" i="1"/>
  <c r="K254" i="1"/>
  <c r="K253" i="1"/>
  <c r="K252" i="1"/>
  <c r="K251" i="1"/>
  <c r="K250" i="1"/>
  <c r="K248" i="1"/>
  <c r="K247" i="1"/>
  <c r="K242" i="1"/>
  <c r="K239" i="1"/>
  <c r="K238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3" i="1"/>
  <c r="K222" i="1"/>
  <c r="K221" i="1"/>
  <c r="K219" i="1"/>
  <c r="K218" i="1"/>
  <c r="K217" i="1"/>
  <c r="K216" i="1"/>
  <c r="K215" i="1"/>
  <c r="K213" i="1"/>
  <c r="K211" i="1"/>
  <c r="K210" i="1"/>
  <c r="K209" i="1"/>
  <c r="K208" i="1"/>
  <c r="K207" i="1"/>
  <c r="H487" i="1"/>
  <c r="I487" i="1"/>
  <c r="J487" i="1"/>
  <c r="K487" i="1"/>
  <c r="L21" i="1"/>
  <c r="L29" i="1"/>
  <c r="L14" i="1"/>
  <c r="L31" i="1"/>
  <c r="L43" i="1"/>
  <c r="L15" i="1"/>
  <c r="L22" i="1"/>
  <c r="L45" i="1"/>
  <c r="L35" i="1"/>
  <c r="L17" i="1"/>
  <c r="L48" i="1"/>
  <c r="L38" i="1"/>
  <c r="L20" i="1"/>
  <c r="L168" i="1"/>
  <c r="L57" i="1"/>
  <c r="L64" i="1"/>
  <c r="L138" i="1"/>
  <c r="L201" i="1"/>
  <c r="L103" i="1"/>
  <c r="L146" i="1"/>
  <c r="L51" i="1"/>
  <c r="L52" i="1"/>
  <c r="L121" i="1"/>
  <c r="L47" i="1"/>
  <c r="L202" i="1"/>
  <c r="L72" i="1"/>
  <c r="L117" i="1"/>
  <c r="L125" i="1"/>
  <c r="L56" i="1"/>
  <c r="L131" i="1"/>
  <c r="L24" i="1"/>
  <c r="L102" i="1"/>
  <c r="L94" i="1"/>
  <c r="L140" i="1"/>
  <c r="L19" i="1"/>
  <c r="L41" i="1"/>
  <c r="L63" i="1"/>
  <c r="L26" i="1"/>
  <c r="L147" i="1"/>
  <c r="L25" i="1"/>
  <c r="L164" i="1"/>
  <c r="L144" i="1"/>
  <c r="L200" i="1"/>
  <c r="L148" i="1"/>
  <c r="L176" i="1"/>
  <c r="L199" i="1"/>
  <c r="L54" i="1"/>
  <c r="L186" i="1"/>
  <c r="L185" i="1"/>
  <c r="L143" i="1"/>
  <c r="L145" i="1"/>
  <c r="L9" i="1"/>
  <c r="L130" i="1"/>
  <c r="L23" i="1"/>
  <c r="L34" i="1"/>
  <c r="L179" i="1"/>
  <c r="L165" i="1"/>
  <c r="L170" i="1"/>
  <c r="L50" i="1"/>
  <c r="L177" i="1"/>
  <c r="L122" i="1"/>
  <c r="L32" i="1"/>
  <c r="L187" i="1"/>
  <c r="L59" i="1"/>
  <c r="L169" i="1"/>
  <c r="L184" i="1"/>
  <c r="L203" i="1"/>
  <c r="L69" i="1"/>
  <c r="L178" i="1"/>
  <c r="L73" i="1"/>
  <c r="L30" i="1"/>
  <c r="L62" i="1"/>
  <c r="L74" i="1"/>
  <c r="L75" i="1"/>
  <c r="L76" i="1"/>
  <c r="L77" i="1"/>
  <c r="L78" i="1"/>
  <c r="L79" i="1"/>
  <c r="L80" i="1"/>
  <c r="L81" i="1"/>
  <c r="L82" i="1"/>
  <c r="L83" i="1"/>
  <c r="L10" i="1"/>
  <c r="L106" i="1"/>
  <c r="L86" i="1"/>
  <c r="L87" i="1"/>
  <c r="L88" i="1"/>
  <c r="L89" i="1"/>
  <c r="L90" i="1"/>
  <c r="L91" i="1"/>
  <c r="L92" i="1"/>
  <c r="L93" i="1"/>
  <c r="L46" i="1"/>
  <c r="L95" i="1"/>
  <c r="L96" i="1"/>
  <c r="L97" i="1"/>
  <c r="L98" i="1"/>
  <c r="L99" i="1"/>
  <c r="L100" i="1"/>
  <c r="L101" i="1"/>
  <c r="L175" i="1"/>
  <c r="L16" i="1"/>
  <c r="L104" i="1"/>
  <c r="L105" i="1"/>
  <c r="L2" i="1"/>
  <c r="L107" i="1"/>
  <c r="L108" i="1"/>
  <c r="L109" i="1"/>
  <c r="L110" i="1"/>
  <c r="L111" i="1"/>
  <c r="L112" i="1"/>
  <c r="L197" i="1"/>
  <c r="L65" i="1"/>
  <c r="L85" i="1"/>
  <c r="L204" i="1"/>
  <c r="L49" i="1"/>
  <c r="L71" i="1"/>
  <c r="L196" i="1"/>
  <c r="L123" i="1"/>
  <c r="L84" i="1"/>
  <c r="L174" i="1"/>
  <c r="L198" i="1"/>
  <c r="L183" i="1"/>
  <c r="L113" i="1"/>
  <c r="L126" i="1"/>
  <c r="L127" i="1"/>
  <c r="L128" i="1"/>
  <c r="L129" i="1"/>
  <c r="L141" i="1"/>
  <c r="L171" i="1"/>
  <c r="L132" i="1"/>
  <c r="L133" i="1"/>
  <c r="L134" i="1"/>
  <c r="L135" i="1"/>
  <c r="L136" i="1"/>
  <c r="L137" i="1"/>
  <c r="L116" i="1"/>
  <c r="L195" i="1"/>
  <c r="L173" i="1"/>
  <c r="L149" i="1"/>
  <c r="L119" i="1"/>
  <c r="L67" i="1"/>
  <c r="L58" i="1"/>
  <c r="L193" i="1"/>
  <c r="L55" i="1"/>
  <c r="L118" i="1"/>
  <c r="L172" i="1"/>
  <c r="L13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66" i="1"/>
  <c r="L37" i="1"/>
  <c r="L27" i="1"/>
  <c r="L142" i="1"/>
  <c r="L70" i="1"/>
  <c r="L44" i="1"/>
  <c r="L4" i="1"/>
  <c r="L39" i="1"/>
  <c r="L42" i="1"/>
  <c r="L13" i="1"/>
  <c r="L12" i="1"/>
  <c r="L68" i="1"/>
  <c r="L60" i="1"/>
  <c r="L163" i="1"/>
  <c r="L115" i="1"/>
  <c r="L124" i="1"/>
  <c r="L53" i="1"/>
  <c r="L180" i="1"/>
  <c r="L181" i="1"/>
  <c r="L182" i="1"/>
  <c r="L11" i="1"/>
  <c r="L5" i="1"/>
  <c r="L40" i="1"/>
  <c r="L166" i="1"/>
  <c r="L120" i="1"/>
  <c r="L188" i="1"/>
  <c r="L189" i="1"/>
  <c r="L190" i="1"/>
  <c r="L191" i="1"/>
  <c r="L192" i="1"/>
  <c r="L6" i="1"/>
  <c r="L114" i="1"/>
  <c r="L33" i="1"/>
  <c r="L167" i="1"/>
  <c r="L194" i="1"/>
  <c r="L3" i="1"/>
  <c r="L18" i="1"/>
  <c r="L8" i="1"/>
  <c r="L36" i="1"/>
  <c r="L61" i="1"/>
  <c r="L7" i="1"/>
  <c r="L28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K28" i="1"/>
  <c r="K139" i="1"/>
  <c r="K172" i="1"/>
  <c r="K118" i="1"/>
  <c r="K55" i="1"/>
  <c r="K193" i="1"/>
  <c r="K58" i="1"/>
  <c r="K67" i="1"/>
  <c r="K119" i="1"/>
  <c r="K195" i="1"/>
  <c r="K116" i="1"/>
  <c r="K135" i="1"/>
  <c r="K134" i="1"/>
  <c r="K133" i="1"/>
  <c r="K132" i="1"/>
  <c r="K171" i="1"/>
  <c r="K141" i="1"/>
  <c r="K128" i="1"/>
  <c r="K126" i="1"/>
  <c r="K113" i="1"/>
  <c r="K183" i="1"/>
  <c r="K198" i="1"/>
  <c r="K174" i="1"/>
  <c r="K84" i="1"/>
  <c r="K123" i="1"/>
  <c r="K196" i="1"/>
  <c r="K71" i="1"/>
  <c r="K49" i="1"/>
  <c r="K109" i="1"/>
  <c r="K108" i="1"/>
  <c r="K107" i="1"/>
  <c r="K105" i="1"/>
  <c r="K104" i="1"/>
  <c r="K16" i="1"/>
  <c r="K99" i="1"/>
  <c r="K97" i="1"/>
  <c r="K96" i="1"/>
  <c r="K95" i="1"/>
  <c r="K46" i="1"/>
  <c r="K92" i="1"/>
  <c r="K91" i="1"/>
  <c r="K90" i="1"/>
  <c r="K89" i="1"/>
  <c r="K88" i="1"/>
  <c r="K87" i="1"/>
  <c r="K86" i="1"/>
  <c r="K106" i="1"/>
  <c r="K10" i="1"/>
  <c r="K83" i="1"/>
  <c r="K82" i="1"/>
  <c r="K81" i="1"/>
  <c r="K80" i="1"/>
  <c r="K79" i="1"/>
  <c r="K78" i="1"/>
  <c r="K77" i="1"/>
  <c r="K76" i="1"/>
  <c r="K75" i="1"/>
  <c r="K74" i="1"/>
  <c r="K62" i="1"/>
  <c r="K30" i="1"/>
  <c r="K73" i="1"/>
  <c r="K178" i="1"/>
  <c r="K69" i="1"/>
  <c r="K203" i="1"/>
  <c r="K184" i="1"/>
  <c r="K169" i="1"/>
  <c r="K59" i="1"/>
  <c r="K187" i="1"/>
  <c r="K32" i="1"/>
  <c r="K122" i="1"/>
  <c r="K177" i="1"/>
  <c r="K50" i="1"/>
  <c r="K170" i="1"/>
  <c r="K165" i="1"/>
  <c r="K179" i="1"/>
  <c r="K34" i="1"/>
  <c r="K23" i="1"/>
  <c r="K130" i="1"/>
  <c r="K9" i="1"/>
  <c r="K145" i="1"/>
  <c r="K143" i="1"/>
  <c r="K185" i="1"/>
  <c r="K186" i="1"/>
  <c r="K54" i="1"/>
  <c r="K199" i="1"/>
  <c r="K176" i="1"/>
  <c r="K148" i="1"/>
  <c r="K200" i="1"/>
  <c r="K144" i="1"/>
  <c r="K164" i="1"/>
  <c r="K25" i="1"/>
  <c r="K147" i="1"/>
  <c r="K26" i="1"/>
  <c r="K63" i="1"/>
  <c r="K41" i="1"/>
  <c r="K19" i="1"/>
  <c r="K140" i="1"/>
  <c r="K94" i="1"/>
  <c r="K102" i="1"/>
  <c r="K24" i="1"/>
  <c r="K131" i="1"/>
  <c r="K56" i="1"/>
  <c r="K125" i="1"/>
  <c r="K117" i="1"/>
  <c r="K72" i="1"/>
  <c r="K202" i="1"/>
  <c r="K47" i="1"/>
  <c r="K121" i="1"/>
  <c r="K52" i="1"/>
  <c r="K51" i="1"/>
  <c r="K146" i="1"/>
  <c r="K103" i="1"/>
  <c r="K201" i="1"/>
  <c r="K138" i="1"/>
  <c r="K64" i="1"/>
  <c r="K57" i="1"/>
  <c r="K168" i="1"/>
  <c r="K20" i="1"/>
  <c r="K38" i="1"/>
  <c r="K48" i="1"/>
  <c r="K17" i="1"/>
  <c r="K35" i="1"/>
  <c r="K45" i="1"/>
  <c r="K22" i="1"/>
  <c r="K15" i="1"/>
  <c r="K43" i="1"/>
  <c r="K31" i="1"/>
  <c r="K14" i="1"/>
  <c r="K29" i="1"/>
  <c r="K21" i="1"/>
  <c r="D5" i="10"/>
  <c r="E5" i="10"/>
  <c r="C5" i="10"/>
  <c r="J10" i="2"/>
  <c r="I10" i="2"/>
  <c r="H10" i="2"/>
  <c r="D10" i="2"/>
  <c r="C10" i="2"/>
  <c r="L487" i="1" l="1"/>
</calcChain>
</file>

<file path=xl/sharedStrings.xml><?xml version="1.0" encoding="utf-8"?>
<sst xmlns="http://schemas.openxmlformats.org/spreadsheetml/2006/main" count="2049" uniqueCount="806">
  <si>
    <t>دقایق تماشا</t>
  </si>
  <si>
    <t>شناسه اثر</t>
  </si>
  <si>
    <t>نام اثر</t>
  </si>
  <si>
    <t>قالب</t>
  </si>
  <si>
    <t>سریال</t>
  </si>
  <si>
    <t>مستند</t>
  </si>
  <si>
    <t>تعداد دانلود</t>
  </si>
  <si>
    <t xml:space="preserve">تعداد تماشا </t>
  </si>
  <si>
    <t>بچه های قهرمان</t>
  </si>
  <si>
    <t>سینمایی</t>
  </si>
  <si>
    <t>زبان</t>
  </si>
  <si>
    <t>دوبله فارسی</t>
  </si>
  <si>
    <t>لینک</t>
  </si>
  <si>
    <t>https://ammaryar.ir/m/oql1l</t>
  </si>
  <si>
    <t>https://ammaryar.ir/m/uvy6g</t>
  </si>
  <si>
    <t>فارست گامپ</t>
  </si>
  <si>
    <t>زیرنویس فارسی</t>
  </si>
  <si>
    <t>https://ammaryar.ir/m/cgduc</t>
  </si>
  <si>
    <t>در جست‌وجوی خوشبختی</t>
  </si>
  <si>
    <t>جوخه</t>
  </si>
  <si>
    <t>https://ammaryar.ir/m/png5e</t>
  </si>
  <si>
    <t>https://ammaryar.ir/m/hjit2</t>
  </si>
  <si>
    <t>نبراسکا</t>
  </si>
  <si>
    <t>https://ammaryar.ir/m/lnhpm</t>
  </si>
  <si>
    <t>نمایش ترومن</t>
  </si>
  <si>
    <t>دایره</t>
  </si>
  <si>
    <t>https://ammaryar.ir/m/tcedh</t>
  </si>
  <si>
    <t>وقایع شگفت انگیز</t>
  </si>
  <si>
    <t>https://ammaryar.ir/m/ffi8k</t>
  </si>
  <si>
    <t>شمالگان</t>
  </si>
  <si>
    <t>https://ammaryar.ir/m/zjmxz</t>
  </si>
  <si>
    <t>دوندگان</t>
  </si>
  <si>
    <t>https://ammaryar.ir/m/qrswr</t>
  </si>
  <si>
    <t>گزارش</t>
  </si>
  <si>
    <t>https://ammaryar.ir/m/rhq6w</t>
  </si>
  <si>
    <t>زندانیان</t>
  </si>
  <si>
    <t>https://ammaryar.ir/m/zbprv</t>
  </si>
  <si>
    <t>زیر صفر</t>
  </si>
  <si>
    <t>https://ammaryar.ir/m/cc5oe</t>
  </si>
  <si>
    <t>بزرگان در اتاق</t>
  </si>
  <si>
    <t>https://ammaryar.ir/m/magfw</t>
  </si>
  <si>
    <t>پسری که باد را مهار کرد</t>
  </si>
  <si>
    <t>https://ammaryar.ir/m/ifp4v</t>
  </si>
  <si>
    <t>بانکدار مبارز</t>
  </si>
  <si>
    <t>https://ammaryar.ir/m/uixl7</t>
  </si>
  <si>
    <t>رکود بزرگ</t>
  </si>
  <si>
    <t>https://ammaryar.ir/m/evj4a</t>
  </si>
  <si>
    <t>رادیو</t>
  </si>
  <si>
    <t>https://ammaryar.ir/m/gocw4</t>
  </si>
  <si>
    <t>وال استریت 1</t>
  </si>
  <si>
    <t>https://ammaryar.ir/m/fx41z</t>
  </si>
  <si>
    <t>سوپر30</t>
  </si>
  <si>
    <t>https://ammaryar.ir/m/rwl56</t>
  </si>
  <si>
    <t>وال استریت 2</t>
  </si>
  <si>
    <t>https://ammaryar.ir/m/czrcq</t>
  </si>
  <si>
    <t>هوانوردان</t>
  </si>
  <si>
    <t>https://ammaryar.ir/m/hws55</t>
  </si>
  <si>
    <t>درخواست نهایی</t>
  </si>
  <si>
    <t>https://ammaryar.ir/m/xi6w2</t>
  </si>
  <si>
    <t>https://ammaryar.ir/m/zf3rg</t>
  </si>
  <si>
    <t>https://ammaryar.ir/m/jdrub</t>
  </si>
  <si>
    <t>سرپیکو</t>
  </si>
  <si>
    <t>12 یتیم توانا</t>
  </si>
  <si>
    <t>https://ammaryar.ir/m/mieln</t>
  </si>
  <si>
    <t>سالی</t>
  </si>
  <si>
    <t>https://ammaryar.ir/m/nsg3r</t>
  </si>
  <si>
    <t>تغییر بازی</t>
  </si>
  <si>
    <t>https://ammaryar.ir/m/imtff</t>
  </si>
  <si>
    <t>اتم داستان پوکران</t>
  </si>
  <si>
    <t>https://ammaryar.ir/m/xmjlg</t>
  </si>
  <si>
    <t>آملیا</t>
  </si>
  <si>
    <t>https://ammaryar.ir/m/kokfu</t>
  </si>
  <si>
    <t>بازی تقلید</t>
  </si>
  <si>
    <t>https://ammaryar.ir/m/ckn52</t>
  </si>
  <si>
    <t>مناظره کنندگان بزرگ</t>
  </si>
  <si>
    <t>https://ammaryar.ir/m/juqoe</t>
  </si>
  <si>
    <t>تنها شجاعان</t>
  </si>
  <si>
    <t>https://ammaryar.ir/m/ymeb8</t>
  </si>
  <si>
    <t>فقط بخشش</t>
  </si>
  <si>
    <t>https://ammaryar.ir/m/rpd3p</t>
  </si>
  <si>
    <t>فلورا و اولیس</t>
  </si>
  <si>
    <t>https://ammaryar.ir/m/nurrf</t>
  </si>
  <si>
    <t>به سوی ستارگان</t>
  </si>
  <si>
    <t>https://ammaryar.ir/m/qoqdo</t>
  </si>
  <si>
    <t>هریت</t>
  </si>
  <si>
    <t>https://ammaryar.ir/m/ofo4w</t>
  </si>
  <si>
    <t>پروژه آدام</t>
  </si>
  <si>
    <t>https://ammaryar.ir/m/mvwar</t>
  </si>
  <si>
    <t>همه چیز از دست رفته</t>
  </si>
  <si>
    <t>https://ammaryar.ir/m/hxmx8</t>
  </si>
  <si>
    <t>بدل ها</t>
  </si>
  <si>
    <t>https://ammaryar.ir/m/gv1ce</t>
  </si>
  <si>
    <t>عملیات مریخ</t>
  </si>
  <si>
    <t>https://ammaryar.ir/m/luoov</t>
  </si>
  <si>
    <t>ارقام پنهان</t>
  </si>
  <si>
    <t>https://ammaryar.ir/m/uyxq3</t>
  </si>
  <si>
    <t>اولین مرد</t>
  </si>
  <si>
    <t>https://ammaryar.ir/m/jfwrh</t>
  </si>
  <si>
    <t>آسمان اکتبر</t>
  </si>
  <si>
    <t>https://ammaryar.ir/m/rz23d</t>
  </si>
  <si>
    <t>گاگارین اولین در فضا</t>
  </si>
  <si>
    <t>https://ammaryar.ir/m/tbr7r</t>
  </si>
  <si>
    <t>سلما</t>
  </si>
  <si>
    <t>https://ammaryar.ir/m/rhfr7</t>
  </si>
  <si>
    <t>مالکوم ایکس</t>
  </si>
  <si>
    <t>https://ammaryar.ir/m/knktb</t>
  </si>
  <si>
    <t>ویروس</t>
  </si>
  <si>
    <t>https://ammaryar.ir/m/gva17</t>
  </si>
  <si>
    <t>بوگوی</t>
  </si>
  <si>
    <t>https://ammaryar.ir/m/xh4nu</t>
  </si>
  <si>
    <t>پچ آدامز</t>
  </si>
  <si>
    <t>https://ammaryar.ir/m/brq3w</t>
  </si>
  <si>
    <t>ضربه مغزی</t>
  </si>
  <si>
    <t>https://ammaryar.ir/m/lhcjg</t>
  </si>
  <si>
    <t>https://ammaryar.ir/m/snxcg</t>
  </si>
  <si>
    <t>کلاشینکف</t>
  </si>
  <si>
    <t>دست های توانمند</t>
  </si>
  <si>
    <t>https://ammaryar.ir/m/ve9bj</t>
  </si>
  <si>
    <t>اسنودن</t>
  </si>
  <si>
    <t>https://ammaryar.ir/m/hm93w</t>
  </si>
  <si>
    <t>تسلا</t>
  </si>
  <si>
    <t>https://ammaryar.ir/m/acgp6</t>
  </si>
  <si>
    <t>به سوی مقصد</t>
  </si>
  <si>
    <t>https://ammaryar.ir/m/kptoi</t>
  </si>
  <si>
    <t>قلعه هایی در آسمان</t>
  </si>
  <si>
    <t>https://ammaryar.ir/m/emxpq</t>
  </si>
  <si>
    <t>حکومت نظامی</t>
  </si>
  <si>
    <t>https://ammaryar.ir/m/wa9nu</t>
  </si>
  <si>
    <t>درخشش نابغه</t>
  </si>
  <si>
    <t>https://ammaryar.ir/m/twlcq</t>
  </si>
  <si>
    <t>جنگ جریان</t>
  </si>
  <si>
    <t>https://ammaryar.ir/m/lektq</t>
  </si>
  <si>
    <t>فورد در برابر فراری</t>
  </si>
  <si>
    <t>https://ammaryar.ir/m/sag6o</t>
  </si>
  <si>
    <t>جابز</t>
  </si>
  <si>
    <t>https://ammaryar.ir/m/txx2t</t>
  </si>
  <si>
    <t>بازی پول</t>
  </si>
  <si>
    <t>https://ammaryar.ir/m/fxg5n</t>
  </si>
  <si>
    <t>رادیواکتیو</t>
  </si>
  <si>
    <t>https://ammaryar.ir/m/six9y</t>
  </si>
  <si>
    <t>اورست</t>
  </si>
  <si>
    <t>https://ammaryar.ir/m/zy2w2</t>
  </si>
  <si>
    <t>طلا</t>
  </si>
  <si>
    <t>https://ammaryar.ir/m/smi3d</t>
  </si>
  <si>
    <t>دونی داستان ناگفته</t>
  </si>
  <si>
    <t>https://ammaryar.ir/m/eu341</t>
  </si>
  <si>
    <t>سالیوت 7</t>
  </si>
  <si>
    <t>https://ammaryar.ir/m/ajt6o</t>
  </si>
  <si>
    <t>پیاده روی در فضا</t>
  </si>
  <si>
    <t>https://ammaryar.ir/m/dr6oz</t>
  </si>
  <si>
    <t>مردی که بی نهایت را می شناخت</t>
  </si>
  <si>
    <t>https://ammaryar.ir/m/uz1hc</t>
  </si>
  <si>
    <t>https://ammaryar.ir/m/kruu1</t>
  </si>
  <si>
    <t>باغ وحش</t>
  </si>
  <si>
    <t>زخم خورده</t>
  </si>
  <si>
    <t>https://ammaryar.ir/m/ofb4f</t>
  </si>
  <si>
    <t>تاریخ ناگفته آمریکا 1</t>
  </si>
  <si>
    <t>تاریخ ناگفته آمریکا 2</t>
  </si>
  <si>
    <t>تاریخ ناگفته آمریکا 3</t>
  </si>
  <si>
    <t>تاریخ ناگفته آمریکا 4</t>
  </si>
  <si>
    <t>تاریخ ناگفته آمریکا 5</t>
  </si>
  <si>
    <t>تاریخ ناگفته آمریکا 6</t>
  </si>
  <si>
    <t>تاریخ ناگفته آمریکا 7</t>
  </si>
  <si>
    <t>تاریخ ناگفته آمریکا 8</t>
  </si>
  <si>
    <t>تاریخ ناگفته آمریکا 9</t>
  </si>
  <si>
    <t>تاریخ ناگفته آمریکا 10</t>
  </si>
  <si>
    <t>بحران مالی جهان</t>
  </si>
  <si>
    <t>https://ammaryar.ir/m/yxb1w</t>
  </si>
  <si>
    <t>چرا نمی توانیم زلزله را پیش بینی کنیم</t>
  </si>
  <si>
    <t>https://ammaryar.ir/m/vx9rd</t>
  </si>
  <si>
    <t>رازهای پنهان پول 1</t>
  </si>
  <si>
    <t>رازهای پنهان پول 2</t>
  </si>
  <si>
    <t>رازهای پنهان پول 3</t>
  </si>
  <si>
    <t>رازهای پنهان پول 4</t>
  </si>
  <si>
    <t>زمین چگونه ما را ساخت 1</t>
  </si>
  <si>
    <t>زمین چگونه ما را ساخت 2</t>
  </si>
  <si>
    <t>زمین چگونه ما را ساخت 3</t>
  </si>
  <si>
    <t>زمین چگونه ما را ساخت 4</t>
  </si>
  <si>
    <t>آمازون اسرارآمیز</t>
  </si>
  <si>
    <t>https://ammaryar.ir/m/chzzq</t>
  </si>
  <si>
    <t>شگفتی های کائنات 1</t>
  </si>
  <si>
    <t>شگفتی های کائنات 2</t>
  </si>
  <si>
    <t>شگفتی های کائنات 3</t>
  </si>
  <si>
    <t>شگفتی های کائنات 4</t>
  </si>
  <si>
    <t>نبرد دایناسورها 1</t>
  </si>
  <si>
    <t>نبرد دایناسورها 2</t>
  </si>
  <si>
    <t>نبرد دایناسورها 3</t>
  </si>
  <si>
    <t>https://ammaryar.ir/m/sbm2z</t>
  </si>
  <si>
    <t>آلاسکا</t>
  </si>
  <si>
    <t>https://ammaryar.ir/m/sf37c</t>
  </si>
  <si>
    <t>https://ammaryar.ir/m/tpjzj</t>
  </si>
  <si>
    <t>https://ammaryar.ir/m/kwo5n</t>
  </si>
  <si>
    <t>https://ammaryar.ir/m/ki7uq</t>
  </si>
  <si>
    <t>https://ammaryar.ir/m/rr14t</t>
  </si>
  <si>
    <t>اسرار مقبره سقاره</t>
  </si>
  <si>
    <t>https://ammaryar.ir/m/lc95q</t>
  </si>
  <si>
    <t>حیات وحش عربستان 1</t>
  </si>
  <si>
    <t>https://ammaryar.ir/m/mkfac</t>
  </si>
  <si>
    <t>حیات وحش عربستان 2</t>
  </si>
  <si>
    <t>معضل اجتماعی</t>
  </si>
  <si>
    <t>https://ammaryar.ir/m/taw6q</t>
  </si>
  <si>
    <t>https://ammaryar.ir/m/hr8mu</t>
  </si>
  <si>
    <t>یک زندگی</t>
  </si>
  <si>
    <t>https://ammaryar.ir/m/bbeja</t>
  </si>
  <si>
    <t>قلمرو جادویی</t>
  </si>
  <si>
    <t>https://ammaryar.ir/m/ym48z</t>
  </si>
  <si>
    <t>سیاره زمین جزیره ها</t>
  </si>
  <si>
    <t>سیاره زمین کوه ها</t>
  </si>
  <si>
    <t>سیاره زمین جنگل ها</t>
  </si>
  <si>
    <t>سیاره زمین بیابان ها</t>
  </si>
  <si>
    <t>سیاره زمین علفزارها</t>
  </si>
  <si>
    <t>سیاره زمین شهرها</t>
  </si>
  <si>
    <t>سالوادور آلنده</t>
  </si>
  <si>
    <t>https://ammaryar.ir/m/ibzfa</t>
  </si>
  <si>
    <t>شکستن مرزها: علم سیاره ما</t>
  </si>
  <si>
    <t>https://ammaryar.ir/m/gsyp7</t>
  </si>
  <si>
    <t>سفر با چگوارا</t>
  </si>
  <si>
    <t>https://ammaryar.ir/m/lal11</t>
  </si>
  <si>
    <t>چهار سوارکار</t>
  </si>
  <si>
    <t>https://ammaryar.ir/m/sh3qz</t>
  </si>
  <si>
    <t>خون زمین</t>
  </si>
  <si>
    <t>https://ammaryar.ir/m/aefs2</t>
  </si>
  <si>
    <t>غارت</t>
  </si>
  <si>
    <t>https://ammaryar.ir/m/gowbk</t>
  </si>
  <si>
    <t>غریبه ای از غرب</t>
  </si>
  <si>
    <t>https://ammaryar.ir/m/vf6ag</t>
  </si>
  <si>
    <t>قلم جادویی</t>
  </si>
  <si>
    <t>https://ammaryar.ir/m/bce7o</t>
  </si>
  <si>
    <t>معلم اختاپوس من</t>
  </si>
  <si>
    <t>https://ammaryar.ir/m/nwgcy</t>
  </si>
  <si>
    <t>نیکاراگوئه آزاد</t>
  </si>
  <si>
    <t>https://ammaryar.ir/m/xey4p</t>
  </si>
  <si>
    <t>قتل عام اجتماعی</t>
  </si>
  <si>
    <t>https://ammaryar.ir/m/zvxhv</t>
  </si>
  <si>
    <t>https://ammaryar.ir/m/cr3vp</t>
  </si>
  <si>
    <t>شگفتی های جهان سرنوشت کیهان</t>
  </si>
  <si>
    <t>شگفتی های جهان پیغام آوران کیهان</t>
  </si>
  <si>
    <t>شگفتی های جهان مسحورکننده</t>
  </si>
  <si>
    <t>شگفتی های جهان سقوط</t>
  </si>
  <si>
    <t>خانه</t>
  </si>
  <si>
    <t>https://ammaryar.ir/m/et4oy</t>
  </si>
  <si>
    <t>زمین یک روز شگفت انگیز</t>
  </si>
  <si>
    <t>https://ammaryar.ir/m/qev2e</t>
  </si>
  <si>
    <t>مصاحبه با پوتین1</t>
  </si>
  <si>
    <t>مصاحبه با پوتین2</t>
  </si>
  <si>
    <t>مصاحبه با پوتین3</t>
  </si>
  <si>
    <t>مصاحبه با پوتین4</t>
  </si>
  <si>
    <t>https://ammaryar.ir/m/ya45x</t>
  </si>
  <si>
    <t>https://ammaryar.ir/m/lysgf</t>
  </si>
  <si>
    <t>مورجه خط اول جنگ سرد 1</t>
  </si>
  <si>
    <t>مورجه خط اول جنگ سرد 2</t>
  </si>
  <si>
    <t>پله تولد یک افسانه</t>
  </si>
  <si>
    <t>https://ammaryar.ir/m/jhi2l</t>
  </si>
  <si>
    <t>جدال با پاندمی</t>
  </si>
  <si>
    <t>https://ammaryar.ir/m/vilb3</t>
  </si>
  <si>
    <t>فراتر از عسل</t>
  </si>
  <si>
    <t>https://ammaryar.ir/m/cvfsk</t>
  </si>
  <si>
    <t>غول های کوچک</t>
  </si>
  <si>
    <t>https://ammaryar.ir/m/vr7hl</t>
  </si>
  <si>
    <t>تروریست های واشنگتن</t>
  </si>
  <si>
    <t>https://ammaryar.ir/m/nebsz</t>
  </si>
  <si>
    <t>من علی هستم</t>
  </si>
  <si>
    <t>https://ammaryar.ir/m/zn7dk</t>
  </si>
  <si>
    <t>کارخانه آمریکایی</t>
  </si>
  <si>
    <t>https://ammaryar.ir/m/ja7de</t>
  </si>
  <si>
    <t>ملت درد اسکات</t>
  </si>
  <si>
    <t>https://ammaryar.ir/m/byoge</t>
  </si>
  <si>
    <t>https://ammaryar.ir/m/lgchg</t>
  </si>
  <si>
    <t>تولید رضایت - نوآم چامسکی و رسانه ها</t>
  </si>
  <si>
    <t>نبرد شیلی</t>
  </si>
  <si>
    <t>https://ammaryar.ir/m/ugxlt</t>
  </si>
  <si>
    <t>هوگو چاوز</t>
  </si>
  <si>
    <t>https://ammaryar.ir/m/rcs2y</t>
  </si>
  <si>
    <t>فیدل</t>
  </si>
  <si>
    <t>https://ammaryar.ir/m/pr7vn</t>
  </si>
  <si>
    <t>https://ammaryar.ir/m/ehfkh</t>
  </si>
  <si>
    <t>https://ammaryar.ir/m/aqy15</t>
  </si>
  <si>
    <t>مردان واقعی 1</t>
  </si>
  <si>
    <t>مردان واقعی 2</t>
  </si>
  <si>
    <t>مردان واقعی 3</t>
  </si>
  <si>
    <t>مردان واقعی 4</t>
  </si>
  <si>
    <t>مردان واقعی 5</t>
  </si>
  <si>
    <t>مردان واقعی 6</t>
  </si>
  <si>
    <t>مردان واقعی 7</t>
  </si>
  <si>
    <t>مردان واقعی 8</t>
  </si>
  <si>
    <t>اسارت 1</t>
  </si>
  <si>
    <t>اسارت 2</t>
  </si>
  <si>
    <t>اسارت 3</t>
  </si>
  <si>
    <t>اسارت 4</t>
  </si>
  <si>
    <t>اسارت 5</t>
  </si>
  <si>
    <t xml:space="preserve">ردیف </t>
  </si>
  <si>
    <t>کد تماشا</t>
  </si>
  <si>
    <t>فروش</t>
  </si>
  <si>
    <t>گناهکار</t>
  </si>
  <si>
    <t>https://ammaryar.ir/m/bcv4n</t>
  </si>
  <si>
    <t>آتنا</t>
  </si>
  <si>
    <t>https://ammaryar.ir/m/sbps2</t>
  </si>
  <si>
    <t>اسرار رسمی</t>
  </si>
  <si>
    <t>https://ammaryar.ir/m/zkepm</t>
  </si>
  <si>
    <t>نارنگی ها</t>
  </si>
  <si>
    <t>https://ammaryar.ir/m/yvuxp</t>
  </si>
  <si>
    <t>سرزمین کارتل ها</t>
  </si>
  <si>
    <t>https://ammaryar.ir/m/ug3t8</t>
  </si>
  <si>
    <t>انگل</t>
  </si>
  <si>
    <t>سونیک خارپشت</t>
  </si>
  <si>
    <t>دلال</t>
  </si>
  <si>
    <t>النا</t>
  </si>
  <si>
    <t>پدینگتون 1</t>
  </si>
  <si>
    <t>پدینگتون 2</t>
  </si>
  <si>
    <t>تمام وقت</t>
  </si>
  <si>
    <t>ماموریت رانی گنج</t>
  </si>
  <si>
    <t>شلاق</t>
  </si>
  <si>
    <t>https://ammaryar.ir/m/gs25d</t>
  </si>
  <si>
    <t>https://ammaryar.ir/m/phgy9</t>
  </si>
  <si>
    <t>https://ammaryar.ir/m/xflyt</t>
  </si>
  <si>
    <t>https://ammaryar.ir/m/nmzbt</t>
  </si>
  <si>
    <t>https://ammaryar.ir/m/rps8s</t>
  </si>
  <si>
    <t>سایه در چشم</t>
  </si>
  <si>
    <t>https://ammaryar.ir/m/nvazd</t>
  </si>
  <si>
    <t>کمک</t>
  </si>
  <si>
    <t>https://ammaryar.ir/m/inqut</t>
  </si>
  <si>
    <t>https://ammaryar.ir/m/te4oe</t>
  </si>
  <si>
    <t>https://ammaryar.ir/m/ywl7t</t>
  </si>
  <si>
    <t>https://ammaryar.ir/m/cqvkw</t>
  </si>
  <si>
    <t>https://ammaryar.ir/m/is1py</t>
  </si>
  <si>
    <t>باتلاق</t>
  </si>
  <si>
    <t>https://ammaryar.ir/m/brq5x</t>
  </si>
  <si>
    <t>https://ammaryar.ir/m/mxera</t>
  </si>
  <si>
    <t>همه چیز در مورد ویروس کرونا 1</t>
  </si>
  <si>
    <t>همه چیز در مورد ویروس کرونا 2</t>
  </si>
  <si>
    <t>همه چیز در مورد ویروس کرونا 3</t>
  </si>
  <si>
    <t>مستند سریالی</t>
  </si>
  <si>
    <t>برای پایان دادن به همه جنگ‌ها: اوپنهایمر و بمب اتم</t>
  </si>
  <si>
    <t>https://ammaryar.ir/m/qpq8i</t>
  </si>
  <si>
    <t>اوکراین در آتش</t>
  </si>
  <si>
    <t>https://ammaryar.ir/m/ennpr</t>
  </si>
  <si>
    <t>کودتای آمریکایی</t>
  </si>
  <si>
    <t>https://ammaryar.ir/m/rzf8o</t>
  </si>
  <si>
    <t>پنگوئن ها</t>
  </si>
  <si>
    <t>https://ammaryar.ir/m/wyun9</t>
  </si>
  <si>
    <t>جنگل باستانی</t>
  </si>
  <si>
    <t>https://ammaryar.ir/m/rv9pc</t>
  </si>
  <si>
    <t>استیضاح تیک‌تاک در کنگره آمریکا 1</t>
  </si>
  <si>
    <t>استیضاح تیک‌تاک در کنگره آمریکا 2</t>
  </si>
  <si>
    <t>استیضاح تیک‌تاک در کنگره آمریکا 3</t>
  </si>
  <si>
    <t>استیضاح تیک‌تاک در کنگره آمریکا 4</t>
  </si>
  <si>
    <t>استیضاح تیک‌تاک در کنگره آمریکا 5</t>
  </si>
  <si>
    <t>https://ammaryar.ir/m/mai6a</t>
  </si>
  <si>
    <t>https://ammaryar.ir/m/ozd44</t>
  </si>
  <si>
    <t>کودتای 53</t>
  </si>
  <si>
    <t>خرس ها</t>
  </si>
  <si>
    <t>https://ammaryar.ir/m/pujx9</t>
  </si>
  <si>
    <t>سفر به بی نهایت</t>
  </si>
  <si>
    <t>https://ammaryar.ir/m/whg5m</t>
  </si>
  <si>
    <t>اسپیلبرگ</t>
  </si>
  <si>
    <t>https://ammaryar.ir/m/hua7t</t>
  </si>
  <si>
    <t>شامپانزه</t>
  </si>
  <si>
    <t>https://ammaryar.ir/m/eswy7</t>
  </si>
  <si>
    <t>جنگی که نمیبینی</t>
  </si>
  <si>
    <t>https://ammaryar.ir/m/ckjrv</t>
  </si>
  <si>
    <t>طنطوره</t>
  </si>
  <si>
    <t>https://ammaryar.ir/m/hi1ba</t>
  </si>
  <si>
    <t>اشغال 101</t>
  </si>
  <si>
    <t>https://ammaryar.ir/m/zi8lh</t>
  </si>
  <si>
    <t>ما کتک نمیخوریم</t>
  </si>
  <si>
    <t>https://ammaryar.ir/m/nchzt</t>
  </si>
  <si>
    <t>بزرگ فکر کن</t>
  </si>
  <si>
    <t>https://ammaryar.ir/m/kl2cd</t>
  </si>
  <si>
    <t>صفحه نمایش خاموش</t>
  </si>
  <si>
    <t>https://ammaryar.ir/m/sj1bq</t>
  </si>
  <si>
    <t>مخالف</t>
  </si>
  <si>
    <t>https://ammaryar.ir/m/kqne1</t>
  </si>
  <si>
    <t>اتاق هشت</t>
  </si>
  <si>
    <t>https://ammaryar.ir/m/ky2bl</t>
  </si>
  <si>
    <t xml:space="preserve">داستانی </t>
  </si>
  <si>
    <t>پرل</t>
  </si>
  <si>
    <t>https://ammaryar.ir/m/mpen6</t>
  </si>
  <si>
    <t xml:space="preserve">بحران  </t>
  </si>
  <si>
    <t>https://ammaryar.ir/m/gmc1e</t>
  </si>
  <si>
    <t>بی کلام</t>
  </si>
  <si>
    <t>آخرین عکس</t>
  </si>
  <si>
    <t>https://ammaryar.ir/m/pg5sm</t>
  </si>
  <si>
    <t>یک قدم کوچک</t>
  </si>
  <si>
    <t>https://ammaryar.ir/m/mycv4</t>
  </si>
  <si>
    <t>آچو</t>
  </si>
  <si>
    <t>https://ammaryar.ir/m/osler</t>
  </si>
  <si>
    <t>دود فروش</t>
  </si>
  <si>
    <t>https://ammaryar.ir/m/urdw9</t>
  </si>
  <si>
    <t>https://ammaryar.ir/m/gq7ic</t>
  </si>
  <si>
    <t>جوی و کپور خوش شانس</t>
  </si>
  <si>
    <t>بیلبی</t>
  </si>
  <si>
    <t>https://ammaryar.ir/m/wkvck</t>
  </si>
  <si>
    <t>https://ammaryar.ir/m/vq67o</t>
  </si>
  <si>
    <t>بلند پرواز</t>
  </si>
  <si>
    <t>پرواز</t>
  </si>
  <si>
    <t>https://ammaryar.ir/m/awxi4</t>
  </si>
  <si>
    <t>باد برمی خیزد</t>
  </si>
  <si>
    <t>https://ammaryar.ir/m/xbh5j</t>
  </si>
  <si>
    <t>پیله شیرین</t>
  </si>
  <si>
    <t>https://ammaryar.ir/m/fyuc3</t>
  </si>
  <si>
    <t>مکانیک</t>
  </si>
  <si>
    <t>https://ammaryar.ir/m/bo1ta</t>
  </si>
  <si>
    <t>انیمیشن سینمایی</t>
  </si>
  <si>
    <t>انیمیشن کوتاه</t>
  </si>
  <si>
    <t>https://ammaryar.ir/m/fro6y</t>
  </si>
  <si>
    <t>سیاره ناشناخته</t>
  </si>
  <si>
    <t>پایپر</t>
  </si>
  <si>
    <t>https://ammaryar.ir/m/zwtid</t>
  </si>
  <si>
    <t>دره کوچک مورچه های گم شده</t>
  </si>
  <si>
    <t>https://ammaryar.ir/m/qr8g6</t>
  </si>
  <si>
    <t>https://ammaryar.ir/m/qixqg</t>
  </si>
  <si>
    <t>انیمیشن سریالی</t>
  </si>
  <si>
    <t>روباه و موش</t>
  </si>
  <si>
    <t>https://ammaryar.ir/m/xdsiy</t>
  </si>
  <si>
    <t>https://ammaryar.ir/m/uxr3j</t>
  </si>
  <si>
    <t>پرندگان آبی (سی قسمت)</t>
  </si>
  <si>
    <t>https://ammaryar.ir/m/gvwv5</t>
  </si>
  <si>
    <t>پت و مت</t>
  </si>
  <si>
    <t>https://ammaryar.ir/m/vx2mo</t>
  </si>
  <si>
    <t>https://ammaryar.ir/m/oysgm</t>
  </si>
  <si>
    <t>https://ammaryar.ir/m/mz2xk</t>
  </si>
  <si>
    <t>https://ammaryar.ir/m/ycqvu</t>
  </si>
  <si>
    <t>https://ammaryar.ir/m/tb37r</t>
  </si>
  <si>
    <t>https://ammaryar.ir/m/kwu7t</t>
  </si>
  <si>
    <t>کریسمس بیگانه</t>
  </si>
  <si>
    <t>https://ammaryar.ir/m/or6lx</t>
  </si>
  <si>
    <t>بیم کوچولو کونگ فو کار</t>
  </si>
  <si>
    <t>https://ammaryar.ir/m/mxral</t>
  </si>
  <si>
    <t>ماجراهای کوری کارسون در کریسمس</t>
  </si>
  <si>
    <t>https://ammaryar.ir/m/izs9a</t>
  </si>
  <si>
    <t>زمین خانه ما</t>
  </si>
  <si>
    <t>https://ammaryar.ir/m/sxoev</t>
  </si>
  <si>
    <t>یاکاری در سفری هیجان انگیز</t>
  </si>
  <si>
    <t>https://ammaryar.ir/m/sakx1</t>
  </si>
  <si>
    <t>https://ammaryar.ir/m/kgecm</t>
  </si>
  <si>
    <t>بازگشت به اوت بک</t>
  </si>
  <si>
    <t>https://ammaryar.ir/m/aoj2g</t>
  </si>
  <si>
    <t>گوش درازها (بیست و شش قسمت)</t>
  </si>
  <si>
    <t>https://ammaryar.ir/m/yik6a</t>
  </si>
  <si>
    <t>https://ammaryar.ir/m/kipnk</t>
  </si>
  <si>
    <t>https://ammaryar.ir/m/wrxwl</t>
  </si>
  <si>
    <t>نیکا و داداشی (پنجاه و یک قسمت)</t>
  </si>
  <si>
    <t>https://ammaryar.ir/m/ekeav</t>
  </si>
  <si>
    <t>دهکده شمالی (سی و دو قسمت)</t>
  </si>
  <si>
    <t>https://ammaryar.ir/m/mwlfj</t>
  </si>
  <si>
    <t>ماموریت به ماه</t>
  </si>
  <si>
    <t>https://ammaryar.ir/m/ky5a9</t>
  </si>
  <si>
    <t>https://ammaryar.ir/m/bex3w</t>
  </si>
  <si>
    <t>موزلی</t>
  </si>
  <si>
    <t>https://ammaryar.ir/m/olzka</t>
  </si>
  <si>
    <t>https://ammaryar.ir/m/md4ud</t>
  </si>
  <si>
    <t>حیوانات ماشینی (هفتادوسه قسمت)</t>
  </si>
  <si>
    <t>https://ammaryar.ir/m/tc6s4</t>
  </si>
  <si>
    <t>کفشدوزک</t>
  </si>
  <si>
    <t>https://ammaryar.ir/m/uthhc</t>
  </si>
  <si>
    <t>اللهیار و افسانه ی مارخور</t>
  </si>
  <si>
    <t>https://ammaryar.ir/m/ak27n</t>
  </si>
  <si>
    <t>ماموریت کاتماندو: ماجراهای نیلی و سایمون</t>
  </si>
  <si>
    <t>https://ammaryar.ir/m/dqegb</t>
  </si>
  <si>
    <t>درخت آرزوها</t>
  </si>
  <si>
    <t>https://ammaryar.ir/m/jdtjk</t>
  </si>
  <si>
    <t>میگ میگ (بیست قسمت)</t>
  </si>
  <si>
    <t>https://ammaryar.ir/m/xr3vo</t>
  </si>
  <si>
    <t>سفر بزرگ</t>
  </si>
  <si>
    <t>https://ammaryar.ir/m/rtpmf</t>
  </si>
  <si>
    <t>https://ammaryar.ir/m/wcxr8</t>
  </si>
  <si>
    <t>https://ammaryar.ir/m/ff7s7</t>
  </si>
  <si>
    <t>صلح بانان (پنجاه و دو قسمت)</t>
  </si>
  <si>
    <t>عناصر (پنجاه و دو قسمت)</t>
  </si>
  <si>
    <t>https://ammaryar.ir/m/aahpc</t>
  </si>
  <si>
    <t>https://ammaryar.ir/m/mjg1a</t>
  </si>
  <si>
    <t>کیت و کیتی بازیگوش (سی و نه قسمت)</t>
  </si>
  <si>
    <t>https://ammaryar.ir/m/ng121</t>
  </si>
  <si>
    <t>گردش های سه کوچلو (چهل و نه قسمت)</t>
  </si>
  <si>
    <t>https://ammaryar.ir/m/ndv7e</t>
  </si>
  <si>
    <t>https://ammaryar.ir/m/xg4o8</t>
  </si>
  <si>
    <t>مسی به اکیدو می رود (پنجاه و یک قسمت)</t>
  </si>
  <si>
    <t>شیر شاه</t>
  </si>
  <si>
    <t>https://ammaryar.ir/m/gcj7q</t>
  </si>
  <si>
    <t>https://ammaryar.ir/m/atgkd</t>
  </si>
  <si>
    <t>توییرلی ووها (پنجاه قسمت)</t>
  </si>
  <si>
    <t>https://ammaryar.ir/m/jiqja</t>
  </si>
  <si>
    <t>فوتبال رباتی (پنجاه  و دو قسمت)</t>
  </si>
  <si>
    <t>حیوانات کاغذی (پنجاه و یک قسمت)</t>
  </si>
  <si>
    <t>https://ammaryar.ir/m/kd2oe</t>
  </si>
  <si>
    <t>https://ammaryar.ir/m/ucffv</t>
  </si>
  <si>
    <t>دایناسور خوب</t>
  </si>
  <si>
    <t>https://ammaryar.ir/m/gnddh</t>
  </si>
  <si>
    <t>افسانه الفکین ها</t>
  </si>
  <si>
    <t>https://ammaryar.ir/m/gwsip</t>
  </si>
  <si>
    <t>فلیکس و گنج پنهان</t>
  </si>
  <si>
    <t>https://ammaryar.ir/m/phc82</t>
  </si>
  <si>
    <t>شوالیه و شاهزاده خانم</t>
  </si>
  <si>
    <t>https://ammaryar.ir/m/eavdh</t>
  </si>
  <si>
    <t>مایا زنبور عسل 3</t>
  </si>
  <si>
    <t>https://ammaryar.ir/m/fkd9v</t>
  </si>
  <si>
    <t>کلاوس</t>
  </si>
  <si>
    <t>https://ammaryar.ir/m/gx4wm</t>
  </si>
  <si>
    <t>سگ های فضایی: ماجراجویی گرمسیری</t>
  </si>
  <si>
    <t>https://ammaryar.ir/m/nmfe2</t>
  </si>
  <si>
    <t>https://ammaryar.ir/m/oru54</t>
  </si>
  <si>
    <t>دور از درخت</t>
  </si>
  <si>
    <t>https://ammaryar.ir/m/xq4ci</t>
  </si>
  <si>
    <t>آریتی</t>
  </si>
  <si>
    <t>https://ammaryar.ir/m/mdfcs</t>
  </si>
  <si>
    <t>وال ای</t>
  </si>
  <si>
    <t>https://ammaryar.ir/m/wnr31</t>
  </si>
  <si>
    <t>ابر کرم</t>
  </si>
  <si>
    <t>https://ammaryar.ir/m/jrck4</t>
  </si>
  <si>
    <t>https://ammaryar.ir/m/cve71</t>
  </si>
  <si>
    <t>خرگوش های دیوانه؛ سفر به مریخ</t>
  </si>
  <si>
    <t>https://ammaryar.ir/m/lwjzr</t>
  </si>
  <si>
    <t>https://ammaryar.ir/m/ty4ja</t>
  </si>
  <si>
    <t>https://ammaryar.ir/m/hhr91</t>
  </si>
  <si>
    <t>اردک اردک غاز</t>
  </si>
  <si>
    <t>https://ammaryar.ir/m/ta7il</t>
  </si>
  <si>
    <t>https://ammaryar.ir/m/lnjvl</t>
  </si>
  <si>
    <t>سام آتشنشان</t>
  </si>
  <si>
    <t>https://ammaryar.ir/m/vff5y</t>
  </si>
  <si>
    <t>پادشاه توئیتی</t>
  </si>
  <si>
    <t>https://ammaryar.ir/m/aumgh</t>
  </si>
  <si>
    <t>لوکا</t>
  </si>
  <si>
    <t>https://ammaryar.ir/m/prn8d</t>
  </si>
  <si>
    <t>اژدهای پدرم</t>
  </si>
  <si>
    <t>https://ammaryar.ir/m/npvad</t>
  </si>
  <si>
    <t>یکسان</t>
  </si>
  <si>
    <t>https://ammaryar.ir/m/vob44</t>
  </si>
  <si>
    <t>بیو و پینو (سی و هفت قسمت)</t>
  </si>
  <si>
    <t>https://ammaryar.ir/m/aq4ka</t>
  </si>
  <si>
    <t>بچه فضایی</t>
  </si>
  <si>
    <t>https://ammaryar.ir/m/hnhl2</t>
  </si>
  <si>
    <t>چگونه اژدهای خود را آموزش دهیم - جهان مخفی</t>
  </si>
  <si>
    <t>https://ammaryar.ir/m/nyoap</t>
  </si>
  <si>
    <t>اژدها سواران - شکار اژدهای طلایی</t>
  </si>
  <si>
    <t>https://ammaryar.ir/m/gaqk4</t>
  </si>
  <si>
    <t>https://ammaryar.ir/m/gsacy</t>
  </si>
  <si>
    <t>روباه بد بزرگ و دو قصه دیگر</t>
  </si>
  <si>
    <t>https://ammaryar.ir/m/ve5hs</t>
  </si>
  <si>
    <t>قاب</t>
  </si>
  <si>
    <t>https://ammaryar.ir/m/jzun5</t>
  </si>
  <si>
    <t>آقای فاکس شگفت انگیز</t>
  </si>
  <si>
    <t>https://ammaryar.ir/m/ptdhy</t>
  </si>
  <si>
    <t>میرای</t>
  </si>
  <si>
    <t>https://ammaryar.ir/m/ulede</t>
  </si>
  <si>
    <t>رنگو</t>
  </si>
  <si>
    <t>https://ammaryar.ir/m/qr12j</t>
  </si>
  <si>
    <t>موش سرآشپز (راتاتویی)</t>
  </si>
  <si>
    <t>https://ammaryar.ir/m/kt72p</t>
  </si>
  <si>
    <t>سیاره گنج</t>
  </si>
  <si>
    <t>https://ammaryar.ir/m/xp2nn</t>
  </si>
  <si>
    <t>لالونا</t>
  </si>
  <si>
    <t>https://ammaryar.ir/m/lxyew</t>
  </si>
  <si>
    <t>روز و شب</t>
  </si>
  <si>
    <t>https://ammaryar.ir/m/ie25q</t>
  </si>
  <si>
    <t>https://ammaryar.ir/m/ekfhp</t>
  </si>
  <si>
    <t>چاو آلبرتو</t>
  </si>
  <si>
    <t>هورتون صدایی می شنود</t>
  </si>
  <si>
    <t>https://ammaryar.ir/m/acq56</t>
  </si>
  <si>
    <t>در جست و جوی دوری</t>
  </si>
  <si>
    <t>https://ammaryar.ir/m/aexww</t>
  </si>
  <si>
    <t>جاسوسان نامحسوس</t>
  </si>
  <si>
    <t>مدفن کرم های شب تاب</t>
  </si>
  <si>
    <t>https://ammaryar.ir/m/hdx85</t>
  </si>
  <si>
    <t>https://ammaryar.ir/m/owcf6</t>
  </si>
  <si>
    <t>https://ammaryar.ir/m/bm8n5</t>
  </si>
  <si>
    <t>https://ammaryar.ir/m/cdfii</t>
  </si>
  <si>
    <t>https://ammaryar.ir/m/kjrb7</t>
  </si>
  <si>
    <t>فردیناند</t>
  </si>
  <si>
    <t>https://ammaryar.ir/m/yf8dq</t>
  </si>
  <si>
    <t>توربو</t>
  </si>
  <si>
    <t>https://ammaryar.ir/m/kliol</t>
  </si>
  <si>
    <t>ماشین ها</t>
  </si>
  <si>
    <t>https://ammaryar.ir/m/gywjx</t>
  </si>
  <si>
    <t>مهاجرت</t>
  </si>
  <si>
    <t>https://ammaryar.ir/m/vt2f9</t>
  </si>
  <si>
    <t>اسکار (هفتاد و هشت قسمت)</t>
  </si>
  <si>
    <t>https://ammaryar.ir/m/im8ts</t>
  </si>
  <si>
    <t>لئو</t>
  </si>
  <si>
    <t>https://ammaryar.ir/m/vqkfw</t>
  </si>
  <si>
    <t>https://ammaryar.ir/m/xoqf9</t>
  </si>
  <si>
    <t>گریزی و موش کوچولوها (سی و هفت قسمت)</t>
  </si>
  <si>
    <t>خرگوش های بازیگوش (نود و پنج قسمت)</t>
  </si>
  <si>
    <t>دوست ما رمی خرسه (سی و یک قسمت)</t>
  </si>
  <si>
    <t>دونگ دونگ 1</t>
  </si>
  <si>
    <t>دونگ دونگ 2</t>
  </si>
  <si>
    <t>دونگ دونگ 3</t>
  </si>
  <si>
    <t>دونگ دونگ 4</t>
  </si>
  <si>
    <t>دونگ دونگ 5</t>
  </si>
  <si>
    <t>دونگ دونگ 6</t>
  </si>
  <si>
    <t>دونگ دونگ 7</t>
  </si>
  <si>
    <t>دونگ دونگ 8</t>
  </si>
  <si>
    <t>دونگ دونگ 9</t>
  </si>
  <si>
    <t>دونگ دونگ 10</t>
  </si>
  <si>
    <t>کبدی کاران 1</t>
  </si>
  <si>
    <t>کبدی کاران 2</t>
  </si>
  <si>
    <t>کبدی کاران 3</t>
  </si>
  <si>
    <t>کبدی کاران 4</t>
  </si>
  <si>
    <t>کبدی کاران 5</t>
  </si>
  <si>
    <t>کبدی کاران 6</t>
  </si>
  <si>
    <t>کبدی کاران 7</t>
  </si>
  <si>
    <t>کبدی کاران 8</t>
  </si>
  <si>
    <t>کبدی کاران 9</t>
  </si>
  <si>
    <t>کبدی کاران 10</t>
  </si>
  <si>
    <t>کبدی کاران 11</t>
  </si>
  <si>
    <t>کبدی کاران 12</t>
  </si>
  <si>
    <t>لولک و بولک 1</t>
  </si>
  <si>
    <t>لولک و بولک 2</t>
  </si>
  <si>
    <t>لولک و بولک 3</t>
  </si>
  <si>
    <t>لولک و بولک 4</t>
  </si>
  <si>
    <t>لولک و بولک 5</t>
  </si>
  <si>
    <t>لولک و بولک 6</t>
  </si>
  <si>
    <t>لولک و بولک 7</t>
  </si>
  <si>
    <t>لولک و بولک 8</t>
  </si>
  <si>
    <t>لولک و بولک 9</t>
  </si>
  <si>
    <t>لولک و بولک 10</t>
  </si>
  <si>
    <t>لولک و بولک 11</t>
  </si>
  <si>
    <t>لولک و بولک 12</t>
  </si>
  <si>
    <t>رویا سوار 1</t>
  </si>
  <si>
    <t>رویا سوار 2</t>
  </si>
  <si>
    <t>رویا سوار 3</t>
  </si>
  <si>
    <t>رویا سوار 4</t>
  </si>
  <si>
    <t>رویا سوار 5</t>
  </si>
  <si>
    <t>رویا سوار 6</t>
  </si>
  <si>
    <t>رویا سوار 7</t>
  </si>
  <si>
    <t>رویا سوار 8</t>
  </si>
  <si>
    <t>رویا سوار 9</t>
  </si>
  <si>
    <t>رویا سوار 10</t>
  </si>
  <si>
    <t>رویا سوار 11</t>
  </si>
  <si>
    <t>رویا سوار 12</t>
  </si>
  <si>
    <t>رویا سوار 13</t>
  </si>
  <si>
    <t>رویا سوار 14</t>
  </si>
  <si>
    <t>رویا سوار 15</t>
  </si>
  <si>
    <t>جعبه ای در جنگل 1</t>
  </si>
  <si>
    <t>جعبه ای در جنگل 2</t>
  </si>
  <si>
    <t>جعبه ای در جنگل 3</t>
  </si>
  <si>
    <t>جعبه ای در جنگل 4</t>
  </si>
  <si>
    <t>جعبه ای در جنگل 5</t>
  </si>
  <si>
    <t>جعبه ای در جنگل 6</t>
  </si>
  <si>
    <t>جعبه ای در جنگل 7</t>
  </si>
  <si>
    <t>جعبه ای در جنگل 8</t>
  </si>
  <si>
    <t>جعبه ای در جنگل 9</t>
  </si>
  <si>
    <t>جعبه ای در جنگل 10</t>
  </si>
  <si>
    <t>جعبه ای در جنگل 11</t>
  </si>
  <si>
    <t>جعبه ای در جنگل 12</t>
  </si>
  <si>
    <t>جعبه ای در جنگل 13</t>
  </si>
  <si>
    <t>جعبه ای در جنگل 14</t>
  </si>
  <si>
    <t>دره مومین ها 1</t>
  </si>
  <si>
    <t>دره مومین ها 2</t>
  </si>
  <si>
    <t>دره مومین ها 3</t>
  </si>
  <si>
    <t>دره مومین ها 4</t>
  </si>
  <si>
    <t>دره مومین ها 5</t>
  </si>
  <si>
    <t>دره مومین ها 6</t>
  </si>
  <si>
    <t>دره مومین ها 7</t>
  </si>
  <si>
    <t>دره مومین ها 8</t>
  </si>
  <si>
    <t>دره مومین ها 9</t>
  </si>
  <si>
    <t>دره مومین ها 10</t>
  </si>
  <si>
    <t>دره مومین ها 11</t>
  </si>
  <si>
    <t>دره مومین ها 12</t>
  </si>
  <si>
    <t>دره مومین ها 13</t>
  </si>
  <si>
    <t>چیپ و دیل 1</t>
  </si>
  <si>
    <t>چیپ و دیل 2</t>
  </si>
  <si>
    <t>چیپ و دیل 3</t>
  </si>
  <si>
    <t>چیپ و دیل 4</t>
  </si>
  <si>
    <t>چیپ و دیل 5</t>
  </si>
  <si>
    <t>دیپ دپ 1</t>
  </si>
  <si>
    <t>دیپ دپ 2</t>
  </si>
  <si>
    <t>دیپ دپ 3</t>
  </si>
  <si>
    <t>دیپ دپ 4</t>
  </si>
  <si>
    <t>دیپ دپ 5</t>
  </si>
  <si>
    <t>حیوانات 1</t>
  </si>
  <si>
    <t>حیوانات 2</t>
  </si>
  <si>
    <t>حیوانات 3</t>
  </si>
  <si>
    <t>حیوانات 4</t>
  </si>
  <si>
    <t>حیوانات 5</t>
  </si>
  <si>
    <t>حیوانات 6</t>
  </si>
  <si>
    <t>حیوانات 7</t>
  </si>
  <si>
    <t>حیوانات 8</t>
  </si>
  <si>
    <t>حیوانات 9</t>
  </si>
  <si>
    <t>حیوانات 10</t>
  </si>
  <si>
    <t>حیوانات 11</t>
  </si>
  <si>
    <t>لگو شهر 1</t>
  </si>
  <si>
    <t>لگو شهر 2</t>
  </si>
  <si>
    <t>لگو شهر 3</t>
  </si>
  <si>
    <t>لگو شهر 4</t>
  </si>
  <si>
    <t>لگو شهر 5</t>
  </si>
  <si>
    <t>لگو شهر 6</t>
  </si>
  <si>
    <t>لگو شهر 7</t>
  </si>
  <si>
    <t>ازدهایان نه قلمرو 1</t>
  </si>
  <si>
    <t>ازدهایان نه قلمرو 2</t>
  </si>
  <si>
    <t>ازدهایان نه قلمرو 3</t>
  </si>
  <si>
    <t>ازدهایان نه قلمرو 4</t>
  </si>
  <si>
    <t>ازدهایان نه قلمرو 5</t>
  </si>
  <si>
    <t>ازدهایان نه قلمرو 6</t>
  </si>
  <si>
    <t>برو برو کوری کارسون - اولین روز کاری</t>
  </si>
  <si>
    <t>برو برو کوری کارسون - بهترین دوست کریسی</t>
  </si>
  <si>
    <t>برو برو کوری کارسون - روز زباله</t>
  </si>
  <si>
    <t>برو برو کوری کارسون - ایستگاه آتش نشانی</t>
  </si>
  <si>
    <t>برو برو کوری کارسون - روغن ریزی</t>
  </si>
  <si>
    <t>برو برو کوری کارسون - هیچ جا خونه خودمون نمیشه</t>
  </si>
  <si>
    <t>برو برو کوری کارسون - محدودیت سرعت</t>
  </si>
  <si>
    <t>کندویی ها - بیزو پست چی</t>
  </si>
  <si>
    <t>کندویی ها - تولد مدرسه</t>
  </si>
  <si>
    <t>کندویی ها - اتاق بچه</t>
  </si>
  <si>
    <t>کندویی ها - تر دستی</t>
  </si>
  <si>
    <t>کندویی ها - زنبور ترسو</t>
  </si>
  <si>
    <t>کندویی ها - بیزو برای نجات می رود</t>
  </si>
  <si>
    <t>کندویی ها - رایانه زنبوری</t>
  </si>
  <si>
    <t>کندویی ها - زنبور ورزشکار</t>
  </si>
  <si>
    <t>کندویی ها - تولد زنبور</t>
  </si>
  <si>
    <t>کندویی ها - خرس زنبوری بیزو</t>
  </si>
  <si>
    <t>ماجراهای لاما 1</t>
  </si>
  <si>
    <t>ماجراهای لاما 2</t>
  </si>
  <si>
    <t>ماجراهای لاما 3</t>
  </si>
  <si>
    <t>قطار بی نهایت 1</t>
  </si>
  <si>
    <t>قطار بی نهایت 2</t>
  </si>
  <si>
    <t>قطار بی نهایت 3</t>
  </si>
  <si>
    <t>قطار بی نهایت 4</t>
  </si>
  <si>
    <t>قطار بی نهایت 5</t>
  </si>
  <si>
    <t>قطار بی نهایت 6</t>
  </si>
  <si>
    <t>قطار بی نهایت 7</t>
  </si>
  <si>
    <t>قطار بی نهایت 8</t>
  </si>
  <si>
    <t>قطار بی نهایت 9</t>
  </si>
  <si>
    <t>قطار بی نهایت 10</t>
  </si>
  <si>
    <t>لاروا 1</t>
  </si>
  <si>
    <t>لاروا 2</t>
  </si>
  <si>
    <t>لاروا 3</t>
  </si>
  <si>
    <t>لاروا 4</t>
  </si>
  <si>
    <t>لاروا 5</t>
  </si>
  <si>
    <t>لاروا 6</t>
  </si>
  <si>
    <t>لاروا 7</t>
  </si>
  <si>
    <t>دختر ستاره ای - مورد مشکوک</t>
  </si>
  <si>
    <t>دختر ستاره ای - گرفتمت گوپ</t>
  </si>
  <si>
    <t>دختر ستاره ای - روز عکس</t>
  </si>
  <si>
    <t>دختر ستاره ای - درون فضا</t>
  </si>
  <si>
    <t>اسنوپی در فضا 1</t>
  </si>
  <si>
    <t>اسنوپی در فضا 2</t>
  </si>
  <si>
    <t>اسنوپی در فضا 3</t>
  </si>
  <si>
    <t>اسنوپی در فضا 4</t>
  </si>
  <si>
    <t>اسنوپی در فضا 5</t>
  </si>
  <si>
    <t>اسنوپی در فضا 6</t>
  </si>
  <si>
    <t>اسنوپی در فضا 7</t>
  </si>
  <si>
    <t>اسنوپی در فضا 8</t>
  </si>
  <si>
    <t>اسنوپی در فضا 9</t>
  </si>
  <si>
    <t>اسنوپی در فضا 10</t>
  </si>
  <si>
    <t>اسنوپی در فضا 11</t>
  </si>
  <si>
    <t>دنیای ژوراسیک 1</t>
  </si>
  <si>
    <t>دنیای ژوراسیک 2</t>
  </si>
  <si>
    <t>دنیای ژوراسیک 3</t>
  </si>
  <si>
    <t>دنیای ژوراسیک 4</t>
  </si>
  <si>
    <t>دنیای ژوراسیک 5</t>
  </si>
  <si>
    <t>اردک های ماجراجو - فرار 1</t>
  </si>
  <si>
    <t>اردک های ماجراجو - فرار 2</t>
  </si>
  <si>
    <t>اردک های ماجراجو -  سفر یک روزه سرنوشت ساز</t>
  </si>
  <si>
    <t>اردک های ماجراجو - تعقیب بزرگ دیم</t>
  </si>
  <si>
    <t>اردک های ماجراجو - قتل عام تولد بیگل!</t>
  </si>
  <si>
    <t>اردک های ماجراجو - ترور شرکت کنندگان ترا</t>
  </si>
  <si>
    <t>اردک های ماجراجو - خانه گاندر خوش شناس</t>
  </si>
  <si>
    <t>اردک های ماجراجو - کارآموزی جهنمی مارک بیکس</t>
  </si>
  <si>
    <t>سفرهای علمی 1</t>
  </si>
  <si>
    <t>سفرهای علمی 2</t>
  </si>
  <si>
    <t>سفرهای علمی 3</t>
  </si>
  <si>
    <t>سفرهای علمی 4</t>
  </si>
  <si>
    <t>سفرهای علمی 5</t>
  </si>
  <si>
    <t>سفرهای علمی 6</t>
  </si>
  <si>
    <t>سفرهای علمی 7</t>
  </si>
  <si>
    <t>سفرهای علمی 8</t>
  </si>
  <si>
    <t>سفرهای علمی 9</t>
  </si>
  <si>
    <t>سفرهای علمی 10</t>
  </si>
  <si>
    <t>سفرهای علمی 11</t>
  </si>
  <si>
    <t>سفرهای علمی 12</t>
  </si>
  <si>
    <t>سفرهای علمی 13</t>
  </si>
  <si>
    <t>ردیف</t>
  </si>
  <si>
    <t>تعداد کل قسمت هر قالب</t>
  </si>
  <si>
    <t>تعداد کل عنوان هر قالب</t>
  </si>
  <si>
    <t>تعداد کل درخواست تماشای هر قالب</t>
  </si>
  <si>
    <t>دقایق تماشای کل هر قالب</t>
  </si>
  <si>
    <t>تعداد دانلود کل هر قالب</t>
  </si>
  <si>
    <t>فروش کل هر قالب</t>
  </si>
  <si>
    <t>داستانی</t>
  </si>
  <si>
    <t>کل</t>
  </si>
  <si>
    <t>بره ناقلا (چهار فصل، صد و شش قسمت)</t>
  </si>
  <si>
    <t>نبض جنگل (پنج فصل، پنجاه و چهار قسمت))</t>
  </si>
  <si>
    <t>تعداد دوبله فارسی</t>
  </si>
  <si>
    <t>تعداد زیرنویس فارسی</t>
  </si>
  <si>
    <t>15 عنوان و 450 قسمت</t>
  </si>
  <si>
    <t>*</t>
  </si>
  <si>
    <t>27 عنوان و 804 قسمت</t>
  </si>
  <si>
    <t>1 عنوان و 8 قسمت</t>
  </si>
  <si>
    <t>1 عنوان و 5 قسمت</t>
  </si>
  <si>
    <t>5 عنوان و 15 قسمت</t>
  </si>
  <si>
    <t>7 عنوان و 36 قسمت</t>
  </si>
  <si>
    <t>عنوان</t>
  </si>
  <si>
    <t>خروجی</t>
  </si>
  <si>
    <t>تعداد درخواست تماشای کل آثار سایت</t>
  </si>
  <si>
    <t>تعداد دقایق تماشای کل آثار سایت</t>
  </si>
  <si>
    <t>تعداد درخواست تماشای آثار بین الملل غیر عربی</t>
  </si>
  <si>
    <t>تعداد دقایق تماشای آثار بین الملل غیر عربی</t>
  </si>
  <si>
    <t>تعداد دانلود آثار بین الملل غیر عربی</t>
  </si>
  <si>
    <t>تعداد دانلود کل آثار سایت</t>
  </si>
  <si>
    <t>بی کللام</t>
  </si>
  <si>
    <t xml:space="preserve"> درخواست تماشا</t>
  </si>
  <si>
    <t>دانلود</t>
  </si>
  <si>
    <t>؟</t>
  </si>
  <si>
    <t>مجموع تماشا و دانلود</t>
  </si>
  <si>
    <t>Total</t>
  </si>
  <si>
    <t>رایگان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</si>
</sst>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_ * #,##0_-_ ;_ * #,##0\-_ ;_ * &quot;-&quot;??_-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  Mitra_1 (MRT)"/>
      <charset val="178"/>
    </font>
    <font>
      <b/>
      <sz val="11"/>
      <color theme="1"/>
      <name val="A  Mitra_1 (MRT)"/>
      <charset val="178"/>
    </font>
    <font>
      <u/>
      <sz val="11"/>
      <color theme="10"/>
      <name val="A  Mitra_1 (MRT)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readingOrder="2"/>
    </xf>
    <xf numFmtId="0" fontId="0" fillId="0" borderId="1" xfId="0" applyBorder="1"/>
    <xf numFmtId="3" fontId="0" fillId="0" borderId="1" xfId="0" applyNumberFormat="1" applyBorder="1"/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6" fillId="0" borderId="0" xfId="0" applyNumberFormat="1" applyFont="1" applyFill="1" applyAlignment="1">
      <alignment horizontal="center" vertical="center" wrapText="1"/>
    </xf>
    <xf numFmtId="164" fontId="6" fillId="0" borderId="0" xfId="2" applyNumberFormat="1" applyFont="1" applyFill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  Mitra_1 (MRT)"/>
        <charset val="178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تعداد دانلود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B5-4DD0-B4BA-409412B0E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B5-4DD0-B4BA-409412B0EE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سایت'!$A$2:$A$3</c:f>
              <c:strCache>
                <c:ptCount val="2"/>
                <c:pt idx="0">
                  <c:v>تعداد دانلود آثار بین الملل غیر عربی</c:v>
                </c:pt>
                <c:pt idx="1">
                  <c:v>تعداد دانلود کل آثار سایت</c:v>
                </c:pt>
              </c:strCache>
            </c:strRef>
          </c:cat>
          <c:val>
            <c:numRef>
              <c:f>'مقایسه با کل آثار سایت'!$B$2:$B$3</c:f>
              <c:numCache>
                <c:formatCode>#,##0</c:formatCode>
                <c:ptCount val="2"/>
                <c:pt idx="0">
                  <c:v>14188</c:v>
                </c:pt>
                <c:pt idx="1">
                  <c:v>171467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E-45F3-BC7E-5A5A15B1FC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B-4617-B018-B5073692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53504"/>
        <c:axId val="2055051584"/>
      </c:barChart>
      <c:catAx>
        <c:axId val="20550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1584"/>
        <c:crosses val="autoZero"/>
        <c:auto val="1"/>
        <c:lblAlgn val="ctr"/>
        <c:lblOffset val="100"/>
        <c:noMultiLvlLbl val="0"/>
      </c:catAx>
      <c:valAx>
        <c:axId val="20550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49-414E-BCF8-E2CE06D64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49-414E-BCF8-E2CE06D64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49-414E-BCF8-E2CE06D64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49-414E-BCF8-E2CE06D64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49-414E-BCF8-E2CE06D648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49-414E-BCF8-E2CE06D648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649-414E-BCF8-E2CE06D648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649-414E-BCF8-E2CE06D648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07C-904E-862E5D6391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زبان'!$C$1</c:f>
              <c:strCache>
                <c:ptCount val="1"/>
                <c:pt idx="0">
                  <c:v>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34-47BE-B825-39E1EA554F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34-47BE-B825-39E1EA554F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34-47BE-B825-39E1EA554FB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زبان'!$C$2:$C$4</c:f>
              <c:numCache>
                <c:formatCode>General</c:formatCode>
                <c:ptCount val="3"/>
                <c:pt idx="0">
                  <c:v>9393</c:v>
                </c:pt>
                <c:pt idx="1">
                  <c:v>18289</c:v>
                </c:pt>
                <c:pt idx="2">
                  <c:v>25908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5-4B26-ACD4-7532656850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زبان'!$D$1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10-437E-8EBA-3CFFC221B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10-437E-8EBA-3CFFC221B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10-437E-8EBA-3CFFC221B0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زبان'!$D$2:$D$4</c:f>
              <c:numCache>
                <c:formatCode>General</c:formatCode>
                <c:ptCount val="3"/>
                <c:pt idx="0">
                  <c:v>35835</c:v>
                </c:pt>
                <c:pt idx="1">
                  <c:v>151298</c:v>
                </c:pt>
                <c:pt idx="2">
                  <c:v>272275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AD6-9117-6DCCE24993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زبان'!$E$1</c:f>
              <c:strCache>
                <c:ptCount val="1"/>
                <c:pt idx="0">
                  <c:v>دانلود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AD-4A90-87F0-5C293C0F96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AD-4A90-87F0-5C293C0F96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AD-4A90-87F0-5C293C0F96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زبان'!$E$2:$E$4</c:f>
              <c:numCache>
                <c:formatCode>General</c:formatCode>
                <c:ptCount val="3"/>
                <c:pt idx="0">
                  <c:v>1784</c:v>
                </c:pt>
                <c:pt idx="1">
                  <c:v>6310</c:v>
                </c:pt>
                <c:pt idx="2">
                  <c:v>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7-4B5E-B71C-3FF7CF9C1E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درخواست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3-4BA1-8190-3B94D00FB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3-4BA1-8190-3B94D00FBA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سایت'!$A$4:$A$5</c:f>
              <c:strCache>
                <c:ptCount val="2"/>
                <c:pt idx="0">
                  <c:v>تعداد درخواست تماشای آثار بین الملل غیر عربی</c:v>
                </c:pt>
                <c:pt idx="1">
                  <c:v>تعداد درخواست تماشای کل آثار سایت</c:v>
                </c:pt>
              </c:strCache>
            </c:strRef>
          </c:cat>
          <c:val>
            <c:numRef>
              <c:f>'مقایسه با کل آثار سایت'!$B$4:$B$5</c:f>
              <c:numCache>
                <c:formatCode>#,##0</c:formatCode>
                <c:ptCount val="2"/>
                <c:pt idx="0">
                  <c:v>53590</c:v>
                </c:pt>
                <c:pt idx="1">
                  <c:v>372532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6-4F24-B36E-F815F8C3A6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دقایق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3A-44CE-96E8-951C7A76F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3A-44CE-96E8-951C7A76F6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سایت'!$A$6:$A$7</c:f>
              <c:strCache>
                <c:ptCount val="2"/>
                <c:pt idx="0">
                  <c:v>تعداد دقایق تماشای آثار بین الملل غیر عربی</c:v>
                </c:pt>
                <c:pt idx="1">
                  <c:v>تعداد دقایق تماشای کل آثار سایت</c:v>
                </c:pt>
              </c:strCache>
            </c:strRef>
          </c:cat>
          <c:val>
            <c:numRef>
              <c:f>'مقایسه با کل آثار سایت'!$B$6:$B$7</c:f>
              <c:numCache>
                <c:formatCode>#,##0</c:formatCode>
                <c:ptCount val="2"/>
                <c:pt idx="0">
                  <c:v>459408</c:v>
                </c:pt>
                <c:pt idx="1">
                  <c:v>3261986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8-4EBE-9DAF-A8AE3EDF49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</a:t>
            </a:r>
            <a:r>
              <a:rPr lang="fa-IR" baseline="0"/>
              <a:t> کل عنوان هر قالب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B3E-89D6-3DA9EE43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65136"/>
        <c:axId val="157366096"/>
      </c:barChart>
      <c:catAx>
        <c:axId val="1573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6096"/>
        <c:crosses val="autoZero"/>
        <c:auto val="1"/>
        <c:lblAlgn val="ctr"/>
        <c:lblOffset val="100"/>
        <c:noMultiLvlLbl val="0"/>
      </c:catAx>
      <c:valAx>
        <c:axId val="157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63-4972-9CE5-522D1B25B9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63-4972-9CE5-522D1B25B9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63-4972-9CE5-522D1B25B9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63-4972-9CE5-522D1B25B9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63-4972-9CE5-522D1B25B9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63-4972-9CE5-522D1B25B9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363-4972-9CE5-522D1B25B9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63-4972-9CE5-522D1B25B9F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C-44F9-BEBB-EB97AC3110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88A-86F2-763F8C9F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5552"/>
        <c:axId val="158894592"/>
      </c:barChart>
      <c:catAx>
        <c:axId val="1588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4592"/>
        <c:crosses val="autoZero"/>
        <c:auto val="1"/>
        <c:lblAlgn val="ctr"/>
        <c:lblOffset val="100"/>
        <c:noMultiLvlLbl val="0"/>
      </c:catAx>
      <c:valAx>
        <c:axId val="158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4C-4373-9005-D9511DDEF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4C-4373-9005-D9511DDEFE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4C-4373-9005-D9511DDEFE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4C-4373-9005-D9511DDEFE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4C-4373-9005-D9511DDEFE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4C-4373-9005-D9511DDEFE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4C-4373-9005-D9511DDEFE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4C-4373-9005-D9511DDEFE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3D6-B216-0D1F64A864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2-47E8-9738-B2FBDE4B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75280"/>
        <c:axId val="169475760"/>
      </c:barChart>
      <c:catAx>
        <c:axId val="1694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760"/>
        <c:crosses val="autoZero"/>
        <c:auto val="1"/>
        <c:lblAlgn val="ctr"/>
        <c:lblOffset val="100"/>
        <c:noMultiLvlLbl val="0"/>
      </c:catAx>
      <c:valAx>
        <c:axId val="1694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C4-484D-A98F-DDFFEDBDC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C4-484D-A98F-DDFFEDBDC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C4-484D-A98F-DDFFEDBDC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C4-484D-A98F-DDFFEDBDC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C4-484D-A98F-DDFFEDBDC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C4-484D-A98F-DDFFEDBDC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C4-484D-A98F-DDFFEDBDC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C4-484D-A98F-DDFFEDBDC9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C04-A853-98F4A82DF2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13</xdr:row>
      <xdr:rowOff>157162</xdr:rowOff>
    </xdr:from>
    <xdr:to>
      <xdr:col>9</xdr:col>
      <xdr:colOff>419100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21C4F-4B8C-2128-71A1-725F7E88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</xdr:row>
      <xdr:rowOff>4762</xdr:rowOff>
    </xdr:from>
    <xdr:to>
      <xdr:col>16</xdr:col>
      <xdr:colOff>514350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F9286-BA66-8D16-3857-A011A90B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14287</xdr:rowOff>
    </xdr:from>
    <xdr:to>
      <xdr:col>9</xdr:col>
      <xdr:colOff>409575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161B0-1AD7-F01B-A350-A4F041D3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261937</xdr:rowOff>
    </xdr:from>
    <xdr:to>
      <xdr:col>12</xdr:col>
      <xdr:colOff>295275</xdr:colOff>
      <xdr:row>10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0ED7-4B06-B964-2808-76E5D5F4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11</xdr:row>
      <xdr:rowOff>61912</xdr:rowOff>
    </xdr:from>
    <xdr:to>
      <xdr:col>12</xdr:col>
      <xdr:colOff>295275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28B8D-19AF-7797-7045-B5C817D6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14287</xdr:rowOff>
    </xdr:from>
    <xdr:to>
      <xdr:col>11</xdr:col>
      <xdr:colOff>295275</xdr:colOff>
      <xdr:row>11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0E88A-5318-A720-24B3-0B5F9DA4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</xdr:row>
      <xdr:rowOff>4762</xdr:rowOff>
    </xdr:from>
    <xdr:to>
      <xdr:col>19</xdr:col>
      <xdr:colOff>276225</xdr:colOff>
      <xdr:row>11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BAA46-5479-478E-AF7C-E4A965179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AF5FD-54E7-1080-AF70-46C4CCDC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214312</xdr:rowOff>
    </xdr:from>
    <xdr:to>
      <xdr:col>19</xdr:col>
      <xdr:colOff>295275</xdr:colOff>
      <xdr:row>11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100A9-F241-A74E-C700-ABF515CB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214312</xdr:rowOff>
    </xdr:from>
    <xdr:to>
      <xdr:col>11</xdr:col>
      <xdr:colOff>285750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A91DF-6001-BEA1-F31A-DBD7669E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223837</xdr:rowOff>
    </xdr:from>
    <xdr:to>
      <xdr:col>19</xdr:col>
      <xdr:colOff>295275</xdr:colOff>
      <xdr:row>11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7313C-088C-45FF-040C-D7316F7D1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223837</xdr:rowOff>
    </xdr:from>
    <xdr:to>
      <xdr:col>11</xdr:col>
      <xdr:colOff>352425</xdr:colOff>
      <xdr:row>11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703B3-A931-46E1-5521-79B1FE2C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0</xdr:row>
      <xdr:rowOff>214313</xdr:rowOff>
    </xdr:from>
    <xdr:to>
      <xdr:col>18</xdr:col>
      <xdr:colOff>266699</xdr:colOff>
      <xdr:row>11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FAFED-E23F-3749-DCA7-0B406F64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11</xdr:row>
      <xdr:rowOff>185737</xdr:rowOff>
    </xdr:from>
    <xdr:to>
      <xdr:col>18</xdr:col>
      <xdr:colOff>276225</xdr:colOff>
      <xdr:row>24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5249BD-6118-CF8B-CEC3-C8A0075D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F691E-BE7B-4846-B83B-B7F73E8F6AAF}" name="Table1" displayName="Table1" ref="A1:L487" totalsRowCount="1" headerRowDxfId="26" dataDxfId="25" totalsRowDxfId="24">
  <autoFilter ref="A1:L486" xr:uid="{DAEF691E-BE7B-4846-B83B-B7F73E8F6AAF}"/>
  <tableColumns count="12">
    <tableColumn id="1" xr3:uid="{F2EAA953-DAC7-405E-8842-AF11A39D0D4A}" name="ردیف " totalsRowLabel="Total" dataDxfId="23" totalsRowDxfId="11"/>
    <tableColumn id="2" xr3:uid="{FA040720-3200-4954-8557-DFD3BF916ED4}" name="شناسه اثر" dataDxfId="22" totalsRowDxfId="10"/>
    <tableColumn id="3" xr3:uid="{606426C5-4912-4204-A423-0B95ABB4FAE7}" name="کد تماشا" dataDxfId="21" totalsRowDxfId="9"/>
    <tableColumn id="4" xr3:uid="{0250D3F5-C0B9-4842-B508-C2E8F3A1B3E3}" name="نام اثر" dataDxfId="20" totalsRowDxfId="8"/>
    <tableColumn id="5" xr3:uid="{1C1EB89D-D4D8-460E-8485-8130937802E7}" name="لینک" dataDxfId="19" totalsRowDxfId="7"/>
    <tableColumn id="6" xr3:uid="{3EDD6E86-9441-4314-AD91-E31D4211F91F}" name="قالب" dataDxfId="18" totalsRowDxfId="6"/>
    <tableColumn id="7" xr3:uid="{BA48E9FA-7286-43EE-A8CC-F23B7ECE554D}" name="زبان" dataDxfId="17" totalsRowDxfId="5"/>
    <tableColumn id="8" xr3:uid="{49EEF339-1122-4F52-95D9-5E46CD2E81D6}" name="تعداد تماشا " totalsRowFunction="sum" dataDxfId="16" totalsRowDxfId="4" dataCellStyle="Comma"/>
    <tableColumn id="9" xr3:uid="{F34DC572-65BE-49F4-8B45-795A03D14590}" name="دقایق تماشا" totalsRowFunction="sum" dataDxfId="15" totalsRowDxfId="3" dataCellStyle="Comma"/>
    <tableColumn id="10" xr3:uid="{67E35E64-27C1-4B72-A7B0-99EBC8BB6FF0}" name="تعداد دانلود" totalsRowFunction="sum" dataDxfId="14" totalsRowDxfId="2" dataCellStyle="Comma"/>
    <tableColumn id="11" xr3:uid="{3E9E3753-6E5B-4AEF-B7F5-8A4A9A132A2E}" name="فروش" totalsRowFunction="sum" dataDxfId="13" totalsRowDxfId="1" dataCellStyle="Comma"/>
    <tableColumn id="12" xr3:uid="{718C079A-104F-4A0A-9E7C-D29AA050BCB0}" name="مجموع تماشا و دانلود" totalsRowFunction="sum" dataDxfId="12" totalsRowDxfId="0" dataCellStyle="Comma" totalsRowCellStyle="Comma">
      <calculatedColumnFormula>Table1[[#This Row],[تعداد دانلود]]+Table1[[#This Row],[تعداد تماشا 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mmaryar.ir/m/sh3qz" TargetMode="External"/><Relationship Id="rId299" Type="http://schemas.openxmlformats.org/officeDocument/2006/relationships/hyperlink" Target="https://ammaryar.ir/m/acq56" TargetMode="External"/><Relationship Id="rId21" Type="http://schemas.openxmlformats.org/officeDocument/2006/relationships/hyperlink" Target="https://ammaryar.ir/m/czrcq" TargetMode="External"/><Relationship Id="rId63" Type="http://schemas.openxmlformats.org/officeDocument/2006/relationships/hyperlink" Target="https://ammaryar.ir/m/fxg5n" TargetMode="External"/><Relationship Id="rId159" Type="http://schemas.openxmlformats.org/officeDocument/2006/relationships/hyperlink" Target="https://ammaryar.ir/m/aqy15" TargetMode="External"/><Relationship Id="rId324" Type="http://schemas.openxmlformats.org/officeDocument/2006/relationships/hyperlink" Target="https://ammaryar.ir/m/oru54" TargetMode="External"/><Relationship Id="rId170" Type="http://schemas.openxmlformats.org/officeDocument/2006/relationships/hyperlink" Target="https://ammaryar.ir/m/nmzbt" TargetMode="External"/><Relationship Id="rId226" Type="http://schemas.openxmlformats.org/officeDocument/2006/relationships/hyperlink" Target="https://ammaryar.ir/m/kwu7t" TargetMode="External"/><Relationship Id="rId268" Type="http://schemas.openxmlformats.org/officeDocument/2006/relationships/hyperlink" Target="https://ammaryar.ir/m/nmfe2" TargetMode="External"/><Relationship Id="rId32" Type="http://schemas.openxmlformats.org/officeDocument/2006/relationships/hyperlink" Target="https://ammaryar.ir/m/juqoe" TargetMode="External"/><Relationship Id="rId74" Type="http://schemas.openxmlformats.org/officeDocument/2006/relationships/hyperlink" Target="https://ammaryar.ir/m/vx9rd" TargetMode="External"/><Relationship Id="rId128" Type="http://schemas.openxmlformats.org/officeDocument/2006/relationships/hyperlink" Target="https://ammaryar.ir/m/cr3vp" TargetMode="External"/><Relationship Id="rId335" Type="http://schemas.openxmlformats.org/officeDocument/2006/relationships/printerSettings" Target="../printerSettings/printerSettings1.bin"/><Relationship Id="rId5" Type="http://schemas.openxmlformats.org/officeDocument/2006/relationships/hyperlink" Target="https://ammaryar.ir/m/hjit2" TargetMode="External"/><Relationship Id="rId181" Type="http://schemas.openxmlformats.org/officeDocument/2006/relationships/hyperlink" Target="https://ammaryar.ir/m/qpq8i" TargetMode="External"/><Relationship Id="rId237" Type="http://schemas.openxmlformats.org/officeDocument/2006/relationships/hyperlink" Target="https://ammaryar.ir/m/ekeav" TargetMode="External"/><Relationship Id="rId279" Type="http://schemas.openxmlformats.org/officeDocument/2006/relationships/hyperlink" Target="https://ammaryar.ir/m/lnjvl" TargetMode="External"/><Relationship Id="rId43" Type="http://schemas.openxmlformats.org/officeDocument/2006/relationships/hyperlink" Target="https://ammaryar.ir/m/jfwrh" TargetMode="External"/><Relationship Id="rId139" Type="http://schemas.openxmlformats.org/officeDocument/2006/relationships/hyperlink" Target="https://ammaryar.ir/m/cvfsk" TargetMode="External"/><Relationship Id="rId290" Type="http://schemas.openxmlformats.org/officeDocument/2006/relationships/hyperlink" Target="https://ammaryar.ir/m/jzun5" TargetMode="External"/><Relationship Id="rId304" Type="http://schemas.openxmlformats.org/officeDocument/2006/relationships/hyperlink" Target="https://ammaryar.ir/m/cdfii" TargetMode="External"/><Relationship Id="rId85" Type="http://schemas.openxmlformats.org/officeDocument/2006/relationships/hyperlink" Target="https://ammaryar.ir/m/sf37c" TargetMode="External"/><Relationship Id="rId150" Type="http://schemas.openxmlformats.org/officeDocument/2006/relationships/hyperlink" Target="https://ammaryar.ir/m/aqy15" TargetMode="External"/><Relationship Id="rId192" Type="http://schemas.openxmlformats.org/officeDocument/2006/relationships/hyperlink" Target="https://ammaryar.ir/m/eswy7" TargetMode="External"/><Relationship Id="rId206" Type="http://schemas.openxmlformats.org/officeDocument/2006/relationships/hyperlink" Target="https://ammaryar.ir/m/urdw9" TargetMode="External"/><Relationship Id="rId248" Type="http://schemas.openxmlformats.org/officeDocument/2006/relationships/hyperlink" Target="https://ammaryar.ir/m/xr3vo" TargetMode="External"/><Relationship Id="rId12" Type="http://schemas.openxmlformats.org/officeDocument/2006/relationships/hyperlink" Target="https://ammaryar.ir/m/zbprv" TargetMode="External"/><Relationship Id="rId108" Type="http://schemas.openxmlformats.org/officeDocument/2006/relationships/hyperlink" Target="https://ammaryar.ir/m/hr8mu" TargetMode="External"/><Relationship Id="rId315" Type="http://schemas.openxmlformats.org/officeDocument/2006/relationships/hyperlink" Target="https://ammaryar.ir/m/gsacy" TargetMode="External"/><Relationship Id="rId54" Type="http://schemas.openxmlformats.org/officeDocument/2006/relationships/hyperlink" Target="https://ammaryar.ir/m/hm93w" TargetMode="External"/><Relationship Id="rId96" Type="http://schemas.openxmlformats.org/officeDocument/2006/relationships/hyperlink" Target="https://ammaryar.ir/m/ki7uq" TargetMode="External"/><Relationship Id="rId161" Type="http://schemas.openxmlformats.org/officeDocument/2006/relationships/hyperlink" Target="https://ammaryar.ir/m/aqy15" TargetMode="External"/><Relationship Id="rId217" Type="http://schemas.openxmlformats.org/officeDocument/2006/relationships/hyperlink" Target="https://ammaryar.ir/m/qixqg" TargetMode="External"/><Relationship Id="rId259" Type="http://schemas.openxmlformats.org/officeDocument/2006/relationships/hyperlink" Target="https://ammaryar.ir/m/jiqja" TargetMode="External"/><Relationship Id="rId23" Type="http://schemas.openxmlformats.org/officeDocument/2006/relationships/hyperlink" Target="https://ammaryar.ir/m/xi6w2" TargetMode="External"/><Relationship Id="rId119" Type="http://schemas.openxmlformats.org/officeDocument/2006/relationships/hyperlink" Target="https://ammaryar.ir/m/gowbk" TargetMode="External"/><Relationship Id="rId270" Type="http://schemas.openxmlformats.org/officeDocument/2006/relationships/hyperlink" Target="https://ammaryar.ir/m/xq4ci" TargetMode="External"/><Relationship Id="rId326" Type="http://schemas.openxmlformats.org/officeDocument/2006/relationships/hyperlink" Target="https://ammaryar.ir/m/ekeav" TargetMode="External"/><Relationship Id="rId65" Type="http://schemas.openxmlformats.org/officeDocument/2006/relationships/hyperlink" Target="https://ammaryar.ir/m/zy2w2" TargetMode="External"/><Relationship Id="rId130" Type="http://schemas.openxmlformats.org/officeDocument/2006/relationships/hyperlink" Target="https://ammaryar.ir/m/qev2e" TargetMode="External"/><Relationship Id="rId172" Type="http://schemas.openxmlformats.org/officeDocument/2006/relationships/hyperlink" Target="https://ammaryar.ir/m/nvazd" TargetMode="External"/><Relationship Id="rId228" Type="http://schemas.openxmlformats.org/officeDocument/2006/relationships/hyperlink" Target="https://ammaryar.ir/m/mxral" TargetMode="External"/><Relationship Id="rId281" Type="http://schemas.openxmlformats.org/officeDocument/2006/relationships/hyperlink" Target="https://ammaryar.ir/m/aumgh" TargetMode="External"/><Relationship Id="rId34" Type="http://schemas.openxmlformats.org/officeDocument/2006/relationships/hyperlink" Target="https://ammaryar.ir/m/rpd3p" TargetMode="External"/><Relationship Id="rId76" Type="http://schemas.openxmlformats.org/officeDocument/2006/relationships/hyperlink" Target="https://ammaryar.ir/m/sbm2z" TargetMode="External"/><Relationship Id="rId141" Type="http://schemas.openxmlformats.org/officeDocument/2006/relationships/hyperlink" Target="https://ammaryar.ir/m/nebsz" TargetMode="External"/><Relationship Id="rId7" Type="http://schemas.openxmlformats.org/officeDocument/2006/relationships/hyperlink" Target="https://ammaryar.ir/m/tcedh" TargetMode="External"/><Relationship Id="rId183" Type="http://schemas.openxmlformats.org/officeDocument/2006/relationships/hyperlink" Target="https://ammaryar.ir/m/rzf8o" TargetMode="External"/><Relationship Id="rId239" Type="http://schemas.openxmlformats.org/officeDocument/2006/relationships/hyperlink" Target="https://ammaryar.ir/m/ky5a9" TargetMode="External"/><Relationship Id="rId250" Type="http://schemas.openxmlformats.org/officeDocument/2006/relationships/hyperlink" Target="https://ammaryar.ir/m/wcxr8" TargetMode="External"/><Relationship Id="rId292" Type="http://schemas.openxmlformats.org/officeDocument/2006/relationships/hyperlink" Target="https://ammaryar.ir/m/ulede" TargetMode="External"/><Relationship Id="rId306" Type="http://schemas.openxmlformats.org/officeDocument/2006/relationships/hyperlink" Target="https://ammaryar.ir/m/yf8dq" TargetMode="External"/><Relationship Id="rId24" Type="http://schemas.openxmlformats.org/officeDocument/2006/relationships/hyperlink" Target="https://ammaryar.ir/m/zf3rg" TargetMode="External"/><Relationship Id="rId45" Type="http://schemas.openxmlformats.org/officeDocument/2006/relationships/hyperlink" Target="https://ammaryar.ir/m/tbr7r" TargetMode="External"/><Relationship Id="rId66" Type="http://schemas.openxmlformats.org/officeDocument/2006/relationships/hyperlink" Target="https://ammaryar.ir/m/smi3d" TargetMode="External"/><Relationship Id="rId87" Type="http://schemas.openxmlformats.org/officeDocument/2006/relationships/hyperlink" Target="https://ammaryar.ir/m/tpjzj" TargetMode="External"/><Relationship Id="rId110" Type="http://schemas.openxmlformats.org/officeDocument/2006/relationships/hyperlink" Target="https://ammaryar.ir/m/hr8mu" TargetMode="External"/><Relationship Id="rId131" Type="http://schemas.openxmlformats.org/officeDocument/2006/relationships/hyperlink" Target="https://ammaryar.ir/m/ya45x" TargetMode="External"/><Relationship Id="rId327" Type="http://schemas.openxmlformats.org/officeDocument/2006/relationships/hyperlink" Target="https://ammaryar.ir/m/kipnk" TargetMode="External"/><Relationship Id="rId152" Type="http://schemas.openxmlformats.org/officeDocument/2006/relationships/hyperlink" Target="https://ammaryar.ir/m/ehfkh" TargetMode="External"/><Relationship Id="rId173" Type="http://schemas.openxmlformats.org/officeDocument/2006/relationships/hyperlink" Target="https://ammaryar.ir/m/inqut" TargetMode="External"/><Relationship Id="rId194" Type="http://schemas.openxmlformats.org/officeDocument/2006/relationships/hyperlink" Target="https://ammaryar.ir/m/hi1ba" TargetMode="External"/><Relationship Id="rId208" Type="http://schemas.openxmlformats.org/officeDocument/2006/relationships/hyperlink" Target="https://ammaryar.ir/m/wkvck" TargetMode="External"/><Relationship Id="rId229" Type="http://schemas.openxmlformats.org/officeDocument/2006/relationships/hyperlink" Target="https://ammaryar.ir/m/izs9a" TargetMode="External"/><Relationship Id="rId240" Type="http://schemas.openxmlformats.org/officeDocument/2006/relationships/hyperlink" Target="https://ammaryar.ir/m/bex3w" TargetMode="External"/><Relationship Id="rId261" Type="http://schemas.openxmlformats.org/officeDocument/2006/relationships/hyperlink" Target="https://ammaryar.ir/m/ucffv" TargetMode="External"/><Relationship Id="rId14" Type="http://schemas.openxmlformats.org/officeDocument/2006/relationships/hyperlink" Target="https://ammaryar.ir/m/magfw" TargetMode="External"/><Relationship Id="rId35" Type="http://schemas.openxmlformats.org/officeDocument/2006/relationships/hyperlink" Target="https://ammaryar.ir/m/nurrf" TargetMode="External"/><Relationship Id="rId56" Type="http://schemas.openxmlformats.org/officeDocument/2006/relationships/hyperlink" Target="https://ammaryar.ir/m/kptoi" TargetMode="External"/><Relationship Id="rId77" Type="http://schemas.openxmlformats.org/officeDocument/2006/relationships/hyperlink" Target="https://ammaryar.ir/m/sf37c" TargetMode="External"/><Relationship Id="rId100" Type="http://schemas.openxmlformats.org/officeDocument/2006/relationships/hyperlink" Target="https://ammaryar.ir/m/rr14t" TargetMode="External"/><Relationship Id="rId282" Type="http://schemas.openxmlformats.org/officeDocument/2006/relationships/hyperlink" Target="https://ammaryar.ir/m/prn8d" TargetMode="External"/><Relationship Id="rId317" Type="http://schemas.openxmlformats.org/officeDocument/2006/relationships/hyperlink" Target="https://ammaryar.ir/m/ty4ja" TargetMode="External"/><Relationship Id="rId8" Type="http://schemas.openxmlformats.org/officeDocument/2006/relationships/hyperlink" Target="https://ammaryar.ir/m/ffi8k" TargetMode="External"/><Relationship Id="rId98" Type="http://schemas.openxmlformats.org/officeDocument/2006/relationships/hyperlink" Target="https://ammaryar.ir/m/ki7uq" TargetMode="External"/><Relationship Id="rId121" Type="http://schemas.openxmlformats.org/officeDocument/2006/relationships/hyperlink" Target="https://ammaryar.ir/m/bce7o" TargetMode="External"/><Relationship Id="rId142" Type="http://schemas.openxmlformats.org/officeDocument/2006/relationships/hyperlink" Target="https://ammaryar.ir/m/zn7dk" TargetMode="External"/><Relationship Id="rId163" Type="http://schemas.openxmlformats.org/officeDocument/2006/relationships/hyperlink" Target="https://ammaryar.ir/m/sbps2" TargetMode="External"/><Relationship Id="rId184" Type="http://schemas.openxmlformats.org/officeDocument/2006/relationships/hyperlink" Target="https://ammaryar.ir/m/wyun9" TargetMode="External"/><Relationship Id="rId219" Type="http://schemas.openxmlformats.org/officeDocument/2006/relationships/hyperlink" Target="https://ammaryar.ir/m/uxr3j" TargetMode="External"/><Relationship Id="rId230" Type="http://schemas.openxmlformats.org/officeDocument/2006/relationships/hyperlink" Target="https://ammaryar.ir/m/sxoev" TargetMode="External"/><Relationship Id="rId251" Type="http://schemas.openxmlformats.org/officeDocument/2006/relationships/hyperlink" Target="https://ammaryar.ir/m/ff7s7" TargetMode="External"/><Relationship Id="rId25" Type="http://schemas.openxmlformats.org/officeDocument/2006/relationships/hyperlink" Target="https://ammaryar.ir/m/jdrub" TargetMode="External"/><Relationship Id="rId46" Type="http://schemas.openxmlformats.org/officeDocument/2006/relationships/hyperlink" Target="https://ammaryar.ir/m/rhfr7" TargetMode="External"/><Relationship Id="rId67" Type="http://schemas.openxmlformats.org/officeDocument/2006/relationships/hyperlink" Target="https://ammaryar.ir/m/eu341" TargetMode="External"/><Relationship Id="rId272" Type="http://schemas.openxmlformats.org/officeDocument/2006/relationships/hyperlink" Target="https://ammaryar.ir/m/wnr31" TargetMode="External"/><Relationship Id="rId293" Type="http://schemas.openxmlformats.org/officeDocument/2006/relationships/hyperlink" Target="https://ammaryar.ir/m/qr12j" TargetMode="External"/><Relationship Id="rId307" Type="http://schemas.openxmlformats.org/officeDocument/2006/relationships/hyperlink" Target="https://ammaryar.ir/m/kliol" TargetMode="External"/><Relationship Id="rId328" Type="http://schemas.openxmlformats.org/officeDocument/2006/relationships/hyperlink" Target="https://ammaryar.ir/m/aoj2g" TargetMode="External"/><Relationship Id="rId88" Type="http://schemas.openxmlformats.org/officeDocument/2006/relationships/hyperlink" Target="https://ammaryar.ir/m/tpjzj" TargetMode="External"/><Relationship Id="rId111" Type="http://schemas.openxmlformats.org/officeDocument/2006/relationships/hyperlink" Target="https://ammaryar.ir/m/hr8mu" TargetMode="External"/><Relationship Id="rId132" Type="http://schemas.openxmlformats.org/officeDocument/2006/relationships/hyperlink" Target="https://ammaryar.ir/m/ya45x" TargetMode="External"/><Relationship Id="rId153" Type="http://schemas.openxmlformats.org/officeDocument/2006/relationships/hyperlink" Target="https://ammaryar.ir/m/ehfkh" TargetMode="External"/><Relationship Id="rId174" Type="http://schemas.openxmlformats.org/officeDocument/2006/relationships/hyperlink" Target="https://ammaryar.ir/m/te4oe" TargetMode="External"/><Relationship Id="rId195" Type="http://schemas.openxmlformats.org/officeDocument/2006/relationships/hyperlink" Target="https://ammaryar.ir/m/zi8lh" TargetMode="External"/><Relationship Id="rId209" Type="http://schemas.openxmlformats.org/officeDocument/2006/relationships/hyperlink" Target="https://ammaryar.ir/m/vq67o" TargetMode="External"/><Relationship Id="rId220" Type="http://schemas.openxmlformats.org/officeDocument/2006/relationships/hyperlink" Target="https://ammaryar.ir/m/gvwv5" TargetMode="External"/><Relationship Id="rId241" Type="http://schemas.openxmlformats.org/officeDocument/2006/relationships/hyperlink" Target="https://ammaryar.ir/m/olzka" TargetMode="External"/><Relationship Id="rId15" Type="http://schemas.openxmlformats.org/officeDocument/2006/relationships/hyperlink" Target="https://ammaryar.ir/m/ifp4v" TargetMode="External"/><Relationship Id="rId36" Type="http://schemas.openxmlformats.org/officeDocument/2006/relationships/hyperlink" Target="https://ammaryar.ir/m/qoqdo" TargetMode="External"/><Relationship Id="rId57" Type="http://schemas.openxmlformats.org/officeDocument/2006/relationships/hyperlink" Target="https://ammaryar.ir/m/emxpq" TargetMode="External"/><Relationship Id="rId262" Type="http://schemas.openxmlformats.org/officeDocument/2006/relationships/hyperlink" Target="https://ammaryar.ir/m/gnddh" TargetMode="External"/><Relationship Id="rId283" Type="http://schemas.openxmlformats.org/officeDocument/2006/relationships/hyperlink" Target="https://ammaryar.ir/m/npvad" TargetMode="External"/><Relationship Id="rId318" Type="http://schemas.openxmlformats.org/officeDocument/2006/relationships/hyperlink" Target="https://ammaryar.ir/m/hhr91" TargetMode="External"/><Relationship Id="rId78" Type="http://schemas.openxmlformats.org/officeDocument/2006/relationships/hyperlink" Target="https://ammaryar.ir/m/sf37c" TargetMode="External"/><Relationship Id="rId99" Type="http://schemas.openxmlformats.org/officeDocument/2006/relationships/hyperlink" Target="https://ammaryar.ir/m/rr14t" TargetMode="External"/><Relationship Id="rId101" Type="http://schemas.openxmlformats.org/officeDocument/2006/relationships/hyperlink" Target="https://ammaryar.ir/m/rr14t" TargetMode="External"/><Relationship Id="rId122" Type="http://schemas.openxmlformats.org/officeDocument/2006/relationships/hyperlink" Target="https://ammaryar.ir/m/nwgcy" TargetMode="External"/><Relationship Id="rId143" Type="http://schemas.openxmlformats.org/officeDocument/2006/relationships/hyperlink" Target="https://ammaryar.ir/m/ja7de" TargetMode="External"/><Relationship Id="rId164" Type="http://schemas.openxmlformats.org/officeDocument/2006/relationships/hyperlink" Target="https://ammaryar.ir/m/zkepm" TargetMode="External"/><Relationship Id="rId185" Type="http://schemas.openxmlformats.org/officeDocument/2006/relationships/hyperlink" Target="https://ammaryar.ir/m/rv9pc" TargetMode="External"/><Relationship Id="rId9" Type="http://schemas.openxmlformats.org/officeDocument/2006/relationships/hyperlink" Target="https://ammaryar.ir/m/zjmxz" TargetMode="External"/><Relationship Id="rId210" Type="http://schemas.openxmlformats.org/officeDocument/2006/relationships/hyperlink" Target="https://ammaryar.ir/m/awxi4" TargetMode="External"/><Relationship Id="rId26" Type="http://schemas.openxmlformats.org/officeDocument/2006/relationships/hyperlink" Target="https://ammaryar.ir/m/mieln" TargetMode="External"/><Relationship Id="rId231" Type="http://schemas.openxmlformats.org/officeDocument/2006/relationships/hyperlink" Target="https://ammaryar.ir/m/sakx1" TargetMode="External"/><Relationship Id="rId252" Type="http://schemas.openxmlformats.org/officeDocument/2006/relationships/hyperlink" Target="https://ammaryar.ir/m/aahpc" TargetMode="External"/><Relationship Id="rId273" Type="http://schemas.openxmlformats.org/officeDocument/2006/relationships/hyperlink" Target="https://ammaryar.ir/m/jrck4" TargetMode="External"/><Relationship Id="rId294" Type="http://schemas.openxmlformats.org/officeDocument/2006/relationships/hyperlink" Target="https://ammaryar.ir/m/kt72p" TargetMode="External"/><Relationship Id="rId308" Type="http://schemas.openxmlformats.org/officeDocument/2006/relationships/hyperlink" Target="https://ammaryar.ir/m/gywjx" TargetMode="External"/><Relationship Id="rId329" Type="http://schemas.openxmlformats.org/officeDocument/2006/relationships/hyperlink" Target="https://ammaryar.ir/m/kwu7t" TargetMode="External"/><Relationship Id="rId47" Type="http://schemas.openxmlformats.org/officeDocument/2006/relationships/hyperlink" Target="https://ammaryar.ir/m/knktb" TargetMode="External"/><Relationship Id="rId68" Type="http://schemas.openxmlformats.org/officeDocument/2006/relationships/hyperlink" Target="https://ammaryar.ir/m/ajt6o" TargetMode="External"/><Relationship Id="rId89" Type="http://schemas.openxmlformats.org/officeDocument/2006/relationships/hyperlink" Target="https://ammaryar.ir/m/tpjzj" TargetMode="External"/><Relationship Id="rId112" Type="http://schemas.openxmlformats.org/officeDocument/2006/relationships/hyperlink" Target="https://ammaryar.ir/m/bbeja" TargetMode="External"/><Relationship Id="rId133" Type="http://schemas.openxmlformats.org/officeDocument/2006/relationships/hyperlink" Target="https://ammaryar.ir/m/ya45x" TargetMode="External"/><Relationship Id="rId154" Type="http://schemas.openxmlformats.org/officeDocument/2006/relationships/hyperlink" Target="https://ammaryar.ir/m/ehfkh" TargetMode="External"/><Relationship Id="rId175" Type="http://schemas.openxmlformats.org/officeDocument/2006/relationships/hyperlink" Target="https://ammaryar.ir/m/ywl7t" TargetMode="External"/><Relationship Id="rId196" Type="http://schemas.openxmlformats.org/officeDocument/2006/relationships/hyperlink" Target="https://ammaryar.ir/m/nchzt" TargetMode="External"/><Relationship Id="rId200" Type="http://schemas.openxmlformats.org/officeDocument/2006/relationships/hyperlink" Target="https://ammaryar.ir/m/ky2bl" TargetMode="External"/><Relationship Id="rId16" Type="http://schemas.openxmlformats.org/officeDocument/2006/relationships/hyperlink" Target="https://ammaryar.ir/m/uixl7" TargetMode="External"/><Relationship Id="rId221" Type="http://schemas.openxmlformats.org/officeDocument/2006/relationships/hyperlink" Target="https://ammaryar.ir/m/vx2mo" TargetMode="External"/><Relationship Id="rId242" Type="http://schemas.openxmlformats.org/officeDocument/2006/relationships/hyperlink" Target="https://ammaryar.ir/m/md4ud" TargetMode="External"/><Relationship Id="rId263" Type="http://schemas.openxmlformats.org/officeDocument/2006/relationships/hyperlink" Target="https://ammaryar.ir/m/gwsip" TargetMode="External"/><Relationship Id="rId284" Type="http://schemas.openxmlformats.org/officeDocument/2006/relationships/hyperlink" Target="https://ammaryar.ir/m/vob44" TargetMode="External"/><Relationship Id="rId319" Type="http://schemas.openxmlformats.org/officeDocument/2006/relationships/hyperlink" Target="https://ammaryar.ir/m/xoqf9" TargetMode="External"/><Relationship Id="rId37" Type="http://schemas.openxmlformats.org/officeDocument/2006/relationships/hyperlink" Target="https://ammaryar.ir/m/ofo4w" TargetMode="External"/><Relationship Id="rId58" Type="http://schemas.openxmlformats.org/officeDocument/2006/relationships/hyperlink" Target="https://ammaryar.ir/m/wa9nu" TargetMode="External"/><Relationship Id="rId79" Type="http://schemas.openxmlformats.org/officeDocument/2006/relationships/hyperlink" Target="https://ammaryar.ir/m/sf37c" TargetMode="External"/><Relationship Id="rId102" Type="http://schemas.openxmlformats.org/officeDocument/2006/relationships/hyperlink" Target="https://ammaryar.ir/m/lc95q" TargetMode="External"/><Relationship Id="rId123" Type="http://schemas.openxmlformats.org/officeDocument/2006/relationships/hyperlink" Target="https://ammaryar.ir/m/xey4p" TargetMode="External"/><Relationship Id="rId144" Type="http://schemas.openxmlformats.org/officeDocument/2006/relationships/hyperlink" Target="https://ammaryar.ir/m/byoge" TargetMode="External"/><Relationship Id="rId330" Type="http://schemas.openxmlformats.org/officeDocument/2006/relationships/hyperlink" Target="https://ammaryar.ir/m/tb37r" TargetMode="External"/><Relationship Id="rId90" Type="http://schemas.openxmlformats.org/officeDocument/2006/relationships/hyperlink" Target="https://ammaryar.ir/m/tpjzj" TargetMode="External"/><Relationship Id="rId165" Type="http://schemas.openxmlformats.org/officeDocument/2006/relationships/hyperlink" Target="https://ammaryar.ir/m/yvuxp" TargetMode="External"/><Relationship Id="rId186" Type="http://schemas.openxmlformats.org/officeDocument/2006/relationships/hyperlink" Target="https://ammaryar.ir/m/mai6a" TargetMode="External"/><Relationship Id="rId211" Type="http://schemas.openxmlformats.org/officeDocument/2006/relationships/hyperlink" Target="https://ammaryar.ir/m/xbh5j" TargetMode="External"/><Relationship Id="rId232" Type="http://schemas.openxmlformats.org/officeDocument/2006/relationships/hyperlink" Target="https://ammaryar.ir/m/kgecm" TargetMode="External"/><Relationship Id="rId253" Type="http://schemas.openxmlformats.org/officeDocument/2006/relationships/hyperlink" Target="https://ammaryar.ir/m/mjg1a" TargetMode="External"/><Relationship Id="rId274" Type="http://schemas.openxmlformats.org/officeDocument/2006/relationships/hyperlink" Target="https://ammaryar.ir/m/cve71" TargetMode="External"/><Relationship Id="rId295" Type="http://schemas.openxmlformats.org/officeDocument/2006/relationships/hyperlink" Target="https://ammaryar.ir/m/xp2nn" TargetMode="External"/><Relationship Id="rId309" Type="http://schemas.openxmlformats.org/officeDocument/2006/relationships/hyperlink" Target="https://ammaryar.ir/m/vt2f9" TargetMode="External"/><Relationship Id="rId27" Type="http://schemas.openxmlformats.org/officeDocument/2006/relationships/hyperlink" Target="https://ammaryar.ir/m/nsg3r" TargetMode="External"/><Relationship Id="rId48" Type="http://schemas.openxmlformats.org/officeDocument/2006/relationships/hyperlink" Target="https://ammaryar.ir/m/gva17" TargetMode="External"/><Relationship Id="rId69" Type="http://schemas.openxmlformats.org/officeDocument/2006/relationships/hyperlink" Target="https://ammaryar.ir/m/dr6oz" TargetMode="External"/><Relationship Id="rId113" Type="http://schemas.openxmlformats.org/officeDocument/2006/relationships/hyperlink" Target="https://ammaryar.ir/m/ym48z" TargetMode="External"/><Relationship Id="rId134" Type="http://schemas.openxmlformats.org/officeDocument/2006/relationships/hyperlink" Target="https://ammaryar.ir/m/ya45x" TargetMode="External"/><Relationship Id="rId320" Type="http://schemas.openxmlformats.org/officeDocument/2006/relationships/hyperlink" Target="https://ammaryar.ir/m/kjrb7" TargetMode="External"/><Relationship Id="rId80" Type="http://schemas.openxmlformats.org/officeDocument/2006/relationships/hyperlink" Target="https://ammaryar.ir/m/sf37c" TargetMode="External"/><Relationship Id="rId155" Type="http://schemas.openxmlformats.org/officeDocument/2006/relationships/hyperlink" Target="https://ammaryar.ir/m/ehfkh" TargetMode="External"/><Relationship Id="rId176" Type="http://schemas.openxmlformats.org/officeDocument/2006/relationships/hyperlink" Target="https://ammaryar.ir/m/cqvkw" TargetMode="External"/><Relationship Id="rId197" Type="http://schemas.openxmlformats.org/officeDocument/2006/relationships/hyperlink" Target="https://ammaryar.ir/m/kl2cd" TargetMode="External"/><Relationship Id="rId201" Type="http://schemas.openxmlformats.org/officeDocument/2006/relationships/hyperlink" Target="https://ammaryar.ir/m/mpen6" TargetMode="External"/><Relationship Id="rId222" Type="http://schemas.openxmlformats.org/officeDocument/2006/relationships/hyperlink" Target="https://ammaryar.ir/m/oysgm" TargetMode="External"/><Relationship Id="rId243" Type="http://schemas.openxmlformats.org/officeDocument/2006/relationships/hyperlink" Target="https://ammaryar.ir/m/tc6s4" TargetMode="External"/><Relationship Id="rId264" Type="http://schemas.openxmlformats.org/officeDocument/2006/relationships/hyperlink" Target="https://ammaryar.ir/m/phc82" TargetMode="External"/><Relationship Id="rId285" Type="http://schemas.openxmlformats.org/officeDocument/2006/relationships/hyperlink" Target="https://ammaryar.ir/m/aq4ka" TargetMode="External"/><Relationship Id="rId17" Type="http://schemas.openxmlformats.org/officeDocument/2006/relationships/hyperlink" Target="https://ammaryar.ir/m/evj4a" TargetMode="External"/><Relationship Id="rId38" Type="http://schemas.openxmlformats.org/officeDocument/2006/relationships/hyperlink" Target="https://ammaryar.ir/m/mvwar" TargetMode="External"/><Relationship Id="rId59" Type="http://schemas.openxmlformats.org/officeDocument/2006/relationships/hyperlink" Target="https://ammaryar.ir/m/twlcq" TargetMode="External"/><Relationship Id="rId103" Type="http://schemas.openxmlformats.org/officeDocument/2006/relationships/hyperlink" Target="https://ammaryar.ir/m/mkfac" TargetMode="External"/><Relationship Id="rId124" Type="http://schemas.openxmlformats.org/officeDocument/2006/relationships/hyperlink" Target="https://ammaryar.ir/m/zvxhv" TargetMode="External"/><Relationship Id="rId310" Type="http://schemas.openxmlformats.org/officeDocument/2006/relationships/hyperlink" Target="https://ammaryar.ir/m/im8ts" TargetMode="External"/><Relationship Id="rId70" Type="http://schemas.openxmlformats.org/officeDocument/2006/relationships/hyperlink" Target="https://ammaryar.ir/m/uz1hc" TargetMode="External"/><Relationship Id="rId91" Type="http://schemas.openxmlformats.org/officeDocument/2006/relationships/hyperlink" Target="https://ammaryar.ir/m/kwo5n" TargetMode="External"/><Relationship Id="rId145" Type="http://schemas.openxmlformats.org/officeDocument/2006/relationships/hyperlink" Target="https://ammaryar.ir/m/lgchg" TargetMode="External"/><Relationship Id="rId166" Type="http://schemas.openxmlformats.org/officeDocument/2006/relationships/hyperlink" Target="https://ammaryar.ir/m/ug3t8" TargetMode="External"/><Relationship Id="rId187" Type="http://schemas.openxmlformats.org/officeDocument/2006/relationships/hyperlink" Target="https://ammaryar.ir/m/mai6a" TargetMode="External"/><Relationship Id="rId331" Type="http://schemas.openxmlformats.org/officeDocument/2006/relationships/hyperlink" Target="https://ammaryar.ir/m/ycqvu" TargetMode="External"/><Relationship Id="rId1" Type="http://schemas.openxmlformats.org/officeDocument/2006/relationships/hyperlink" Target="https://ammaryar.ir/m/oql1l" TargetMode="External"/><Relationship Id="rId212" Type="http://schemas.openxmlformats.org/officeDocument/2006/relationships/hyperlink" Target="https://ammaryar.ir/m/fyuc3" TargetMode="External"/><Relationship Id="rId233" Type="http://schemas.openxmlformats.org/officeDocument/2006/relationships/hyperlink" Target="https://ammaryar.ir/m/aoj2g" TargetMode="External"/><Relationship Id="rId254" Type="http://schemas.openxmlformats.org/officeDocument/2006/relationships/hyperlink" Target="https://ammaryar.ir/m/ng121" TargetMode="External"/><Relationship Id="rId28" Type="http://schemas.openxmlformats.org/officeDocument/2006/relationships/hyperlink" Target="https://ammaryar.ir/m/imtff" TargetMode="External"/><Relationship Id="rId49" Type="http://schemas.openxmlformats.org/officeDocument/2006/relationships/hyperlink" Target="https://ammaryar.ir/m/xh4nu" TargetMode="External"/><Relationship Id="rId114" Type="http://schemas.openxmlformats.org/officeDocument/2006/relationships/hyperlink" Target="https://ammaryar.ir/m/ibzfa" TargetMode="External"/><Relationship Id="rId275" Type="http://schemas.openxmlformats.org/officeDocument/2006/relationships/hyperlink" Target="https://ammaryar.ir/m/lwjzr" TargetMode="External"/><Relationship Id="rId296" Type="http://schemas.openxmlformats.org/officeDocument/2006/relationships/hyperlink" Target="https://ammaryar.ir/m/lxyew" TargetMode="External"/><Relationship Id="rId300" Type="http://schemas.openxmlformats.org/officeDocument/2006/relationships/hyperlink" Target="https://ammaryar.ir/m/aexww" TargetMode="External"/><Relationship Id="rId60" Type="http://schemas.openxmlformats.org/officeDocument/2006/relationships/hyperlink" Target="https://ammaryar.ir/m/lektq" TargetMode="External"/><Relationship Id="rId81" Type="http://schemas.openxmlformats.org/officeDocument/2006/relationships/hyperlink" Target="https://ammaryar.ir/m/sf37c" TargetMode="External"/><Relationship Id="rId135" Type="http://schemas.openxmlformats.org/officeDocument/2006/relationships/hyperlink" Target="https://ammaryar.ir/m/lysgf" TargetMode="External"/><Relationship Id="rId156" Type="http://schemas.openxmlformats.org/officeDocument/2006/relationships/hyperlink" Target="https://ammaryar.ir/m/ehfkh" TargetMode="External"/><Relationship Id="rId177" Type="http://schemas.openxmlformats.org/officeDocument/2006/relationships/hyperlink" Target="https://ammaryar.ir/m/is1py" TargetMode="External"/><Relationship Id="rId198" Type="http://schemas.openxmlformats.org/officeDocument/2006/relationships/hyperlink" Target="https://ammaryar.ir/m/sj1bq" TargetMode="External"/><Relationship Id="rId321" Type="http://schemas.openxmlformats.org/officeDocument/2006/relationships/hyperlink" Target="https://ammaryar.ir/m/bm8n5" TargetMode="External"/><Relationship Id="rId202" Type="http://schemas.openxmlformats.org/officeDocument/2006/relationships/hyperlink" Target="https://ammaryar.ir/m/gmc1e" TargetMode="External"/><Relationship Id="rId223" Type="http://schemas.openxmlformats.org/officeDocument/2006/relationships/hyperlink" Target="https://ammaryar.ir/m/mz2xk" TargetMode="External"/><Relationship Id="rId244" Type="http://schemas.openxmlformats.org/officeDocument/2006/relationships/hyperlink" Target="https://ammaryar.ir/m/uthhc" TargetMode="External"/><Relationship Id="rId18" Type="http://schemas.openxmlformats.org/officeDocument/2006/relationships/hyperlink" Target="https://ammaryar.ir/m/gocw4" TargetMode="External"/><Relationship Id="rId39" Type="http://schemas.openxmlformats.org/officeDocument/2006/relationships/hyperlink" Target="https://ammaryar.ir/m/hxmx8" TargetMode="External"/><Relationship Id="rId265" Type="http://schemas.openxmlformats.org/officeDocument/2006/relationships/hyperlink" Target="https://ammaryar.ir/m/eavdh" TargetMode="External"/><Relationship Id="rId286" Type="http://schemas.openxmlformats.org/officeDocument/2006/relationships/hyperlink" Target="https://ammaryar.ir/m/hnhl2" TargetMode="External"/><Relationship Id="rId50" Type="http://schemas.openxmlformats.org/officeDocument/2006/relationships/hyperlink" Target="https://ammaryar.ir/m/brq3w" TargetMode="External"/><Relationship Id="rId104" Type="http://schemas.openxmlformats.org/officeDocument/2006/relationships/hyperlink" Target="https://ammaryar.ir/m/mkfac" TargetMode="External"/><Relationship Id="rId125" Type="http://schemas.openxmlformats.org/officeDocument/2006/relationships/hyperlink" Target="https://ammaryar.ir/m/cr3vp" TargetMode="External"/><Relationship Id="rId146" Type="http://schemas.openxmlformats.org/officeDocument/2006/relationships/hyperlink" Target="https://ammaryar.ir/m/ugxlt" TargetMode="External"/><Relationship Id="rId167" Type="http://schemas.openxmlformats.org/officeDocument/2006/relationships/hyperlink" Target="https://ammaryar.ir/m/gs25d" TargetMode="External"/><Relationship Id="rId188" Type="http://schemas.openxmlformats.org/officeDocument/2006/relationships/hyperlink" Target="https://ammaryar.ir/m/ozd44" TargetMode="External"/><Relationship Id="rId311" Type="http://schemas.openxmlformats.org/officeDocument/2006/relationships/hyperlink" Target="https://ammaryar.ir/m/vqkfw" TargetMode="External"/><Relationship Id="rId332" Type="http://schemas.openxmlformats.org/officeDocument/2006/relationships/hyperlink" Target="https://ammaryar.ir/m/mz2xk" TargetMode="External"/><Relationship Id="rId71" Type="http://schemas.openxmlformats.org/officeDocument/2006/relationships/hyperlink" Target="https://ammaryar.ir/m/kruu1" TargetMode="External"/><Relationship Id="rId92" Type="http://schemas.openxmlformats.org/officeDocument/2006/relationships/hyperlink" Target="https://ammaryar.ir/m/kwo5n" TargetMode="External"/><Relationship Id="rId213" Type="http://schemas.openxmlformats.org/officeDocument/2006/relationships/hyperlink" Target="https://ammaryar.ir/m/bo1ta" TargetMode="External"/><Relationship Id="rId234" Type="http://schemas.openxmlformats.org/officeDocument/2006/relationships/hyperlink" Target="https://ammaryar.ir/m/yik6a" TargetMode="External"/><Relationship Id="rId2" Type="http://schemas.openxmlformats.org/officeDocument/2006/relationships/hyperlink" Target="https://ammaryar.ir/m/uvy6g" TargetMode="External"/><Relationship Id="rId29" Type="http://schemas.openxmlformats.org/officeDocument/2006/relationships/hyperlink" Target="https://ammaryar.ir/m/xmjlg" TargetMode="External"/><Relationship Id="rId255" Type="http://schemas.openxmlformats.org/officeDocument/2006/relationships/hyperlink" Target="https://ammaryar.ir/m/ndv7e" TargetMode="External"/><Relationship Id="rId276" Type="http://schemas.openxmlformats.org/officeDocument/2006/relationships/hyperlink" Target="https://ammaryar.ir/m/ty4ja" TargetMode="External"/><Relationship Id="rId297" Type="http://schemas.openxmlformats.org/officeDocument/2006/relationships/hyperlink" Target="https://ammaryar.ir/m/ie25q" TargetMode="External"/><Relationship Id="rId40" Type="http://schemas.openxmlformats.org/officeDocument/2006/relationships/hyperlink" Target="https://ammaryar.ir/m/gv1ce" TargetMode="External"/><Relationship Id="rId115" Type="http://schemas.openxmlformats.org/officeDocument/2006/relationships/hyperlink" Target="https://ammaryar.ir/m/gsyp7" TargetMode="External"/><Relationship Id="rId136" Type="http://schemas.openxmlformats.org/officeDocument/2006/relationships/hyperlink" Target="https://ammaryar.ir/m/lysgf" TargetMode="External"/><Relationship Id="rId157" Type="http://schemas.openxmlformats.org/officeDocument/2006/relationships/hyperlink" Target="https://ammaryar.ir/m/ehfkh" TargetMode="External"/><Relationship Id="rId178" Type="http://schemas.openxmlformats.org/officeDocument/2006/relationships/hyperlink" Target="https://ammaryar.ir/m/brq5x" TargetMode="External"/><Relationship Id="rId301" Type="http://schemas.openxmlformats.org/officeDocument/2006/relationships/hyperlink" Target="https://ammaryar.ir/m/hdx85" TargetMode="External"/><Relationship Id="rId322" Type="http://schemas.openxmlformats.org/officeDocument/2006/relationships/hyperlink" Target="https://ammaryar.ir/m/owcf6" TargetMode="External"/><Relationship Id="rId61" Type="http://schemas.openxmlformats.org/officeDocument/2006/relationships/hyperlink" Target="https://ammaryar.ir/m/sag6o" TargetMode="External"/><Relationship Id="rId82" Type="http://schemas.openxmlformats.org/officeDocument/2006/relationships/hyperlink" Target="https://ammaryar.ir/m/sf37c" TargetMode="External"/><Relationship Id="rId199" Type="http://schemas.openxmlformats.org/officeDocument/2006/relationships/hyperlink" Target="https://ammaryar.ir/m/kqne1" TargetMode="External"/><Relationship Id="rId203" Type="http://schemas.openxmlformats.org/officeDocument/2006/relationships/hyperlink" Target="https://ammaryar.ir/m/pg5sm" TargetMode="External"/><Relationship Id="rId19" Type="http://schemas.openxmlformats.org/officeDocument/2006/relationships/hyperlink" Target="https://ammaryar.ir/m/fx41z" TargetMode="External"/><Relationship Id="rId224" Type="http://schemas.openxmlformats.org/officeDocument/2006/relationships/hyperlink" Target="https://ammaryar.ir/m/ycqvu" TargetMode="External"/><Relationship Id="rId245" Type="http://schemas.openxmlformats.org/officeDocument/2006/relationships/hyperlink" Target="https://ammaryar.ir/m/ak27n" TargetMode="External"/><Relationship Id="rId266" Type="http://schemas.openxmlformats.org/officeDocument/2006/relationships/hyperlink" Target="https://ammaryar.ir/m/fkd9v" TargetMode="External"/><Relationship Id="rId287" Type="http://schemas.openxmlformats.org/officeDocument/2006/relationships/hyperlink" Target="https://ammaryar.ir/m/nyoap" TargetMode="External"/><Relationship Id="rId30" Type="http://schemas.openxmlformats.org/officeDocument/2006/relationships/hyperlink" Target="https://ammaryar.ir/m/kokfu" TargetMode="External"/><Relationship Id="rId105" Type="http://schemas.openxmlformats.org/officeDocument/2006/relationships/hyperlink" Target="https://ammaryar.ir/m/taw6q" TargetMode="External"/><Relationship Id="rId126" Type="http://schemas.openxmlformats.org/officeDocument/2006/relationships/hyperlink" Target="https://ammaryar.ir/m/cr3vp" TargetMode="External"/><Relationship Id="rId147" Type="http://schemas.openxmlformats.org/officeDocument/2006/relationships/hyperlink" Target="https://ammaryar.ir/m/rcs2y" TargetMode="External"/><Relationship Id="rId168" Type="http://schemas.openxmlformats.org/officeDocument/2006/relationships/hyperlink" Target="https://ammaryar.ir/m/phgy9" TargetMode="External"/><Relationship Id="rId312" Type="http://schemas.openxmlformats.org/officeDocument/2006/relationships/hyperlink" Target="https://ammaryar.ir/m/xoqf9" TargetMode="External"/><Relationship Id="rId333" Type="http://schemas.openxmlformats.org/officeDocument/2006/relationships/hyperlink" Target="https://ammaryar.ir/m/oysgm" TargetMode="External"/><Relationship Id="rId51" Type="http://schemas.openxmlformats.org/officeDocument/2006/relationships/hyperlink" Target="https://ammaryar.ir/m/lhcjg" TargetMode="External"/><Relationship Id="rId72" Type="http://schemas.openxmlformats.org/officeDocument/2006/relationships/hyperlink" Target="https://ammaryar.ir/m/ofb4f" TargetMode="External"/><Relationship Id="rId93" Type="http://schemas.openxmlformats.org/officeDocument/2006/relationships/hyperlink" Target="https://ammaryar.ir/m/kwo5n" TargetMode="External"/><Relationship Id="rId189" Type="http://schemas.openxmlformats.org/officeDocument/2006/relationships/hyperlink" Target="https://ammaryar.ir/m/pujx9" TargetMode="External"/><Relationship Id="rId3" Type="http://schemas.openxmlformats.org/officeDocument/2006/relationships/hyperlink" Target="https://ammaryar.ir/m/cgduc" TargetMode="External"/><Relationship Id="rId214" Type="http://schemas.openxmlformats.org/officeDocument/2006/relationships/hyperlink" Target="https://ammaryar.ir/m/fro6y" TargetMode="External"/><Relationship Id="rId235" Type="http://schemas.openxmlformats.org/officeDocument/2006/relationships/hyperlink" Target="https://ammaryar.ir/m/kipnk" TargetMode="External"/><Relationship Id="rId256" Type="http://schemas.openxmlformats.org/officeDocument/2006/relationships/hyperlink" Target="https://ammaryar.ir/m/xg4o8" TargetMode="External"/><Relationship Id="rId277" Type="http://schemas.openxmlformats.org/officeDocument/2006/relationships/hyperlink" Target="https://ammaryar.ir/m/hhr91" TargetMode="External"/><Relationship Id="rId298" Type="http://schemas.openxmlformats.org/officeDocument/2006/relationships/hyperlink" Target="https://ammaryar.ir/m/ekfhp" TargetMode="External"/><Relationship Id="rId116" Type="http://schemas.openxmlformats.org/officeDocument/2006/relationships/hyperlink" Target="https://ammaryar.ir/m/lal11" TargetMode="External"/><Relationship Id="rId137" Type="http://schemas.openxmlformats.org/officeDocument/2006/relationships/hyperlink" Target="https://ammaryar.ir/m/jhi2l" TargetMode="External"/><Relationship Id="rId158" Type="http://schemas.openxmlformats.org/officeDocument/2006/relationships/hyperlink" Target="https://ammaryar.ir/m/aqy15" TargetMode="External"/><Relationship Id="rId302" Type="http://schemas.openxmlformats.org/officeDocument/2006/relationships/hyperlink" Target="https://ammaryar.ir/m/owcf6" TargetMode="External"/><Relationship Id="rId323" Type="http://schemas.openxmlformats.org/officeDocument/2006/relationships/hyperlink" Target="https://ammaryar.ir/m/cve71" TargetMode="External"/><Relationship Id="rId20" Type="http://schemas.openxmlformats.org/officeDocument/2006/relationships/hyperlink" Target="https://ammaryar.ir/m/rwl56" TargetMode="External"/><Relationship Id="rId41" Type="http://schemas.openxmlformats.org/officeDocument/2006/relationships/hyperlink" Target="https://ammaryar.ir/m/luoov" TargetMode="External"/><Relationship Id="rId62" Type="http://schemas.openxmlformats.org/officeDocument/2006/relationships/hyperlink" Target="https://ammaryar.ir/m/txx2t" TargetMode="External"/><Relationship Id="rId83" Type="http://schemas.openxmlformats.org/officeDocument/2006/relationships/hyperlink" Target="https://ammaryar.ir/m/sf37c" TargetMode="External"/><Relationship Id="rId179" Type="http://schemas.openxmlformats.org/officeDocument/2006/relationships/hyperlink" Target="https://ammaryar.ir/m/mxera" TargetMode="External"/><Relationship Id="rId190" Type="http://schemas.openxmlformats.org/officeDocument/2006/relationships/hyperlink" Target="https://ammaryar.ir/m/whg5m" TargetMode="External"/><Relationship Id="rId204" Type="http://schemas.openxmlformats.org/officeDocument/2006/relationships/hyperlink" Target="https://ammaryar.ir/m/mycv4" TargetMode="External"/><Relationship Id="rId225" Type="http://schemas.openxmlformats.org/officeDocument/2006/relationships/hyperlink" Target="https://ammaryar.ir/m/tb37r" TargetMode="External"/><Relationship Id="rId246" Type="http://schemas.openxmlformats.org/officeDocument/2006/relationships/hyperlink" Target="https://ammaryar.ir/m/dqegb" TargetMode="External"/><Relationship Id="rId267" Type="http://schemas.openxmlformats.org/officeDocument/2006/relationships/hyperlink" Target="https://ammaryar.ir/m/gx4wm" TargetMode="External"/><Relationship Id="rId288" Type="http://schemas.openxmlformats.org/officeDocument/2006/relationships/hyperlink" Target="https://ammaryar.ir/m/gaqk4" TargetMode="External"/><Relationship Id="rId106" Type="http://schemas.openxmlformats.org/officeDocument/2006/relationships/hyperlink" Target="https://ammaryar.ir/m/hr8mu" TargetMode="External"/><Relationship Id="rId127" Type="http://schemas.openxmlformats.org/officeDocument/2006/relationships/hyperlink" Target="https://ammaryar.ir/m/cr3vp" TargetMode="External"/><Relationship Id="rId313" Type="http://schemas.openxmlformats.org/officeDocument/2006/relationships/hyperlink" Target="https://ammaryar.ir/m/cdfii" TargetMode="External"/><Relationship Id="rId10" Type="http://schemas.openxmlformats.org/officeDocument/2006/relationships/hyperlink" Target="https://ammaryar.ir/m/qrswr" TargetMode="External"/><Relationship Id="rId31" Type="http://schemas.openxmlformats.org/officeDocument/2006/relationships/hyperlink" Target="https://ammaryar.ir/m/ckn52" TargetMode="External"/><Relationship Id="rId52" Type="http://schemas.openxmlformats.org/officeDocument/2006/relationships/hyperlink" Target="https://ammaryar.ir/m/snxcg" TargetMode="External"/><Relationship Id="rId73" Type="http://schemas.openxmlformats.org/officeDocument/2006/relationships/hyperlink" Target="https://ammaryar.ir/m/yxb1w" TargetMode="External"/><Relationship Id="rId94" Type="http://schemas.openxmlformats.org/officeDocument/2006/relationships/hyperlink" Target="https://ammaryar.ir/m/kwo5n" TargetMode="External"/><Relationship Id="rId148" Type="http://schemas.openxmlformats.org/officeDocument/2006/relationships/hyperlink" Target="https://ammaryar.ir/m/pr7vn" TargetMode="External"/><Relationship Id="rId169" Type="http://schemas.openxmlformats.org/officeDocument/2006/relationships/hyperlink" Target="https://ammaryar.ir/m/xflyt" TargetMode="External"/><Relationship Id="rId334" Type="http://schemas.openxmlformats.org/officeDocument/2006/relationships/hyperlink" Target="https://ammaryar.ir/m/gvwv5" TargetMode="External"/><Relationship Id="rId4" Type="http://schemas.openxmlformats.org/officeDocument/2006/relationships/hyperlink" Target="https://ammaryar.ir/m/png5e" TargetMode="External"/><Relationship Id="rId180" Type="http://schemas.openxmlformats.org/officeDocument/2006/relationships/hyperlink" Target="https://ammaryar.ir/m/mxera" TargetMode="External"/><Relationship Id="rId215" Type="http://schemas.openxmlformats.org/officeDocument/2006/relationships/hyperlink" Target="https://ammaryar.ir/m/zwtid" TargetMode="External"/><Relationship Id="rId236" Type="http://schemas.openxmlformats.org/officeDocument/2006/relationships/hyperlink" Target="https://ammaryar.ir/m/wrxwl" TargetMode="External"/><Relationship Id="rId257" Type="http://schemas.openxmlformats.org/officeDocument/2006/relationships/hyperlink" Target="https://ammaryar.ir/m/gcj7q" TargetMode="External"/><Relationship Id="rId278" Type="http://schemas.openxmlformats.org/officeDocument/2006/relationships/hyperlink" Target="https://ammaryar.ir/m/ta7il" TargetMode="External"/><Relationship Id="rId303" Type="http://schemas.openxmlformats.org/officeDocument/2006/relationships/hyperlink" Target="https://ammaryar.ir/m/bm8n5" TargetMode="External"/><Relationship Id="rId42" Type="http://schemas.openxmlformats.org/officeDocument/2006/relationships/hyperlink" Target="https://ammaryar.ir/m/uyxq3" TargetMode="External"/><Relationship Id="rId84" Type="http://schemas.openxmlformats.org/officeDocument/2006/relationships/hyperlink" Target="https://ammaryar.ir/m/sf37c" TargetMode="External"/><Relationship Id="rId138" Type="http://schemas.openxmlformats.org/officeDocument/2006/relationships/hyperlink" Target="https://ammaryar.ir/m/vilb3" TargetMode="External"/><Relationship Id="rId191" Type="http://schemas.openxmlformats.org/officeDocument/2006/relationships/hyperlink" Target="https://ammaryar.ir/m/hua7t" TargetMode="External"/><Relationship Id="rId205" Type="http://schemas.openxmlformats.org/officeDocument/2006/relationships/hyperlink" Target="https://ammaryar.ir/m/osler" TargetMode="External"/><Relationship Id="rId247" Type="http://schemas.openxmlformats.org/officeDocument/2006/relationships/hyperlink" Target="https://ammaryar.ir/m/jdtjk" TargetMode="External"/><Relationship Id="rId107" Type="http://schemas.openxmlformats.org/officeDocument/2006/relationships/hyperlink" Target="https://ammaryar.ir/m/hr8mu" TargetMode="External"/><Relationship Id="rId289" Type="http://schemas.openxmlformats.org/officeDocument/2006/relationships/hyperlink" Target="https://ammaryar.ir/m/ve5hs" TargetMode="External"/><Relationship Id="rId11" Type="http://schemas.openxmlformats.org/officeDocument/2006/relationships/hyperlink" Target="https://ammaryar.ir/m/rhq6w" TargetMode="External"/><Relationship Id="rId53" Type="http://schemas.openxmlformats.org/officeDocument/2006/relationships/hyperlink" Target="https://ammaryar.ir/m/ve9bj" TargetMode="External"/><Relationship Id="rId149" Type="http://schemas.openxmlformats.org/officeDocument/2006/relationships/hyperlink" Target="https://ammaryar.ir/m/ehfkh" TargetMode="External"/><Relationship Id="rId314" Type="http://schemas.openxmlformats.org/officeDocument/2006/relationships/hyperlink" Target="https://ammaryar.ir/m/gsacy" TargetMode="External"/><Relationship Id="rId95" Type="http://schemas.openxmlformats.org/officeDocument/2006/relationships/hyperlink" Target="https://ammaryar.ir/m/ki7uq" TargetMode="External"/><Relationship Id="rId160" Type="http://schemas.openxmlformats.org/officeDocument/2006/relationships/hyperlink" Target="https://ammaryar.ir/m/aqy15" TargetMode="External"/><Relationship Id="rId216" Type="http://schemas.openxmlformats.org/officeDocument/2006/relationships/hyperlink" Target="https://ammaryar.ir/m/qr8g6" TargetMode="External"/><Relationship Id="rId258" Type="http://schemas.openxmlformats.org/officeDocument/2006/relationships/hyperlink" Target="https://ammaryar.ir/m/atgkd" TargetMode="External"/><Relationship Id="rId22" Type="http://schemas.openxmlformats.org/officeDocument/2006/relationships/hyperlink" Target="https://ammaryar.ir/m/hws55" TargetMode="External"/><Relationship Id="rId64" Type="http://schemas.openxmlformats.org/officeDocument/2006/relationships/hyperlink" Target="https://ammaryar.ir/m/six9y" TargetMode="External"/><Relationship Id="rId118" Type="http://schemas.openxmlformats.org/officeDocument/2006/relationships/hyperlink" Target="https://ammaryar.ir/m/aefs2" TargetMode="External"/><Relationship Id="rId325" Type="http://schemas.openxmlformats.org/officeDocument/2006/relationships/hyperlink" Target="https://ammaryar.ir/m/wcxr8" TargetMode="External"/><Relationship Id="rId171" Type="http://schemas.openxmlformats.org/officeDocument/2006/relationships/hyperlink" Target="https://ammaryar.ir/m/rps8s" TargetMode="External"/><Relationship Id="rId227" Type="http://schemas.openxmlformats.org/officeDocument/2006/relationships/hyperlink" Target="https://ammaryar.ir/m/or6lx" TargetMode="External"/><Relationship Id="rId269" Type="http://schemas.openxmlformats.org/officeDocument/2006/relationships/hyperlink" Target="https://ammaryar.ir/m/oru54" TargetMode="External"/><Relationship Id="rId33" Type="http://schemas.openxmlformats.org/officeDocument/2006/relationships/hyperlink" Target="https://ammaryar.ir/m/ymeb8" TargetMode="External"/><Relationship Id="rId129" Type="http://schemas.openxmlformats.org/officeDocument/2006/relationships/hyperlink" Target="https://ammaryar.ir/m/et4oy" TargetMode="External"/><Relationship Id="rId280" Type="http://schemas.openxmlformats.org/officeDocument/2006/relationships/hyperlink" Target="https://ammaryar.ir/m/vff5y" TargetMode="External"/><Relationship Id="rId336" Type="http://schemas.openxmlformats.org/officeDocument/2006/relationships/table" Target="../tables/table1.xml"/><Relationship Id="rId75" Type="http://schemas.openxmlformats.org/officeDocument/2006/relationships/hyperlink" Target="https://ammaryar.ir/m/chzzq" TargetMode="External"/><Relationship Id="rId140" Type="http://schemas.openxmlformats.org/officeDocument/2006/relationships/hyperlink" Target="https://ammaryar.ir/m/vr7hl" TargetMode="External"/><Relationship Id="rId182" Type="http://schemas.openxmlformats.org/officeDocument/2006/relationships/hyperlink" Target="https://ammaryar.ir/m/ennpr" TargetMode="External"/><Relationship Id="rId6" Type="http://schemas.openxmlformats.org/officeDocument/2006/relationships/hyperlink" Target="https://ammaryar.ir/m/lnhpm" TargetMode="External"/><Relationship Id="rId238" Type="http://schemas.openxmlformats.org/officeDocument/2006/relationships/hyperlink" Target="https://ammaryar.ir/m/mwlfj" TargetMode="External"/><Relationship Id="rId291" Type="http://schemas.openxmlformats.org/officeDocument/2006/relationships/hyperlink" Target="https://ammaryar.ir/m/ptdhy" TargetMode="External"/><Relationship Id="rId305" Type="http://schemas.openxmlformats.org/officeDocument/2006/relationships/hyperlink" Target="https://ammaryar.ir/m/kjrb7" TargetMode="External"/><Relationship Id="rId44" Type="http://schemas.openxmlformats.org/officeDocument/2006/relationships/hyperlink" Target="https://ammaryar.ir/m/rz23d" TargetMode="External"/><Relationship Id="rId86" Type="http://schemas.openxmlformats.org/officeDocument/2006/relationships/hyperlink" Target="https://ammaryar.ir/m/sf37c" TargetMode="External"/><Relationship Id="rId151" Type="http://schemas.openxmlformats.org/officeDocument/2006/relationships/hyperlink" Target="https://ammaryar.ir/m/ehfkh" TargetMode="External"/><Relationship Id="rId193" Type="http://schemas.openxmlformats.org/officeDocument/2006/relationships/hyperlink" Target="https://ammaryar.ir/m/ckjrv" TargetMode="External"/><Relationship Id="rId207" Type="http://schemas.openxmlformats.org/officeDocument/2006/relationships/hyperlink" Target="https://ammaryar.ir/m/gq7ic" TargetMode="External"/><Relationship Id="rId249" Type="http://schemas.openxmlformats.org/officeDocument/2006/relationships/hyperlink" Target="https://ammaryar.ir/m/rtpmf" TargetMode="External"/><Relationship Id="rId13" Type="http://schemas.openxmlformats.org/officeDocument/2006/relationships/hyperlink" Target="https://ammaryar.ir/m/cc5oe" TargetMode="External"/><Relationship Id="rId109" Type="http://schemas.openxmlformats.org/officeDocument/2006/relationships/hyperlink" Target="https://ammaryar.ir/m/hr8mu" TargetMode="External"/><Relationship Id="rId260" Type="http://schemas.openxmlformats.org/officeDocument/2006/relationships/hyperlink" Target="https://ammaryar.ir/m/kd2oe" TargetMode="External"/><Relationship Id="rId316" Type="http://schemas.openxmlformats.org/officeDocument/2006/relationships/hyperlink" Target="https://ammaryar.ir/m/lnjvl" TargetMode="External"/><Relationship Id="rId55" Type="http://schemas.openxmlformats.org/officeDocument/2006/relationships/hyperlink" Target="https://ammaryar.ir/m/acgp6" TargetMode="External"/><Relationship Id="rId97" Type="http://schemas.openxmlformats.org/officeDocument/2006/relationships/hyperlink" Target="https://ammaryar.ir/m/ki7uq" TargetMode="External"/><Relationship Id="rId120" Type="http://schemas.openxmlformats.org/officeDocument/2006/relationships/hyperlink" Target="https://ammaryar.ir/m/vf6ag" TargetMode="External"/><Relationship Id="rId162" Type="http://schemas.openxmlformats.org/officeDocument/2006/relationships/hyperlink" Target="https://ammaryar.ir/m/bcv4n" TargetMode="External"/><Relationship Id="rId218" Type="http://schemas.openxmlformats.org/officeDocument/2006/relationships/hyperlink" Target="https://ammaryar.ir/m/xdsiy" TargetMode="External"/><Relationship Id="rId271" Type="http://schemas.openxmlformats.org/officeDocument/2006/relationships/hyperlink" Target="https://ammaryar.ir/m/mdfc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7"/>
  <sheetViews>
    <sheetView rightToLeft="1" tabSelected="1" workbookViewId="0">
      <pane ySplit="1" topLeftCell="A2" activePane="bottomLeft" state="frozen"/>
      <selection activeCell="B1" sqref="B1"/>
      <selection pane="bottomLeft" activeCell="J3" sqref="J3"/>
    </sheetView>
  </sheetViews>
  <sheetFormatPr defaultRowHeight="18" x14ac:dyDescent="0.25"/>
  <cols>
    <col min="1" max="1" width="9.140625" style="16" customWidth="1"/>
    <col min="2" max="2" width="10.5703125" style="16" customWidth="1"/>
    <col min="3" max="3" width="9.5703125" style="16" customWidth="1"/>
    <col min="4" max="4" width="13" style="17" customWidth="1"/>
    <col min="5" max="5" width="33.5703125" style="17" customWidth="1"/>
    <col min="6" max="6" width="13.5703125" style="17" customWidth="1"/>
    <col min="7" max="7" width="12.5703125" style="17" customWidth="1"/>
    <col min="8" max="9" width="11.85546875" style="16" customWidth="1"/>
    <col min="10" max="10" width="11.140625" style="16" customWidth="1"/>
    <col min="11" max="11" width="12.28515625" style="16" customWidth="1"/>
    <col min="12" max="12" width="11" style="16" customWidth="1"/>
    <col min="13" max="16384" width="9.140625" style="16"/>
  </cols>
  <sheetData>
    <row r="1" spans="1:12" s="21" customFormat="1" x14ac:dyDescent="0.25">
      <c r="A1" s="18" t="s">
        <v>290</v>
      </c>
      <c r="B1" s="18" t="s">
        <v>1</v>
      </c>
      <c r="C1" s="18" t="s">
        <v>291</v>
      </c>
      <c r="D1" s="19" t="s">
        <v>2</v>
      </c>
      <c r="E1" s="19" t="s">
        <v>12</v>
      </c>
      <c r="F1" s="19" t="s">
        <v>3</v>
      </c>
      <c r="G1" s="19" t="s">
        <v>10</v>
      </c>
      <c r="H1" s="19" t="s">
        <v>7</v>
      </c>
      <c r="I1" s="18" t="s">
        <v>0</v>
      </c>
      <c r="J1" s="18" t="s">
        <v>6</v>
      </c>
      <c r="K1" s="18" t="s">
        <v>292</v>
      </c>
      <c r="L1" s="20" t="s">
        <v>803</v>
      </c>
    </row>
    <row r="2" spans="1:12" ht="36" x14ac:dyDescent="0.25">
      <c r="A2" s="12">
        <v>105</v>
      </c>
      <c r="B2" s="12">
        <v>5278</v>
      </c>
      <c r="C2" s="12"/>
      <c r="D2" s="13" t="s">
        <v>199</v>
      </c>
      <c r="E2" s="14" t="s">
        <v>200</v>
      </c>
      <c r="F2" s="13" t="s">
        <v>5</v>
      </c>
      <c r="G2" s="13" t="s">
        <v>16</v>
      </c>
      <c r="H2" s="10">
        <v>687</v>
      </c>
      <c r="I2" s="10">
        <v>4902</v>
      </c>
      <c r="J2" s="10">
        <v>468</v>
      </c>
      <c r="K2" s="10" t="s">
        <v>802</v>
      </c>
      <c r="L2" s="10">
        <f>Table1[[#This Row],[تعداد دانلود]]+Table1[[#This Row],[تعداد تماشا ]]</f>
        <v>1155</v>
      </c>
    </row>
    <row r="3" spans="1:12" ht="36" x14ac:dyDescent="0.25">
      <c r="A3" s="13">
        <v>201</v>
      </c>
      <c r="B3" s="13">
        <v>8752</v>
      </c>
      <c r="C3" s="13">
        <v>293</v>
      </c>
      <c r="D3" s="13" t="s">
        <v>358</v>
      </c>
      <c r="E3" s="13" t="s">
        <v>359</v>
      </c>
      <c r="F3" s="13" t="s">
        <v>5</v>
      </c>
      <c r="G3" s="13" t="s">
        <v>16</v>
      </c>
      <c r="H3" s="11">
        <v>538</v>
      </c>
      <c r="I3" s="11">
        <v>3679</v>
      </c>
      <c r="J3" s="11">
        <v>194</v>
      </c>
      <c r="K3" s="11">
        <v>1693000</v>
      </c>
      <c r="L3" s="10">
        <f>Table1[[#This Row],[تعداد دانلود]]+Table1[[#This Row],[تعداد تماشا ]]</f>
        <v>732</v>
      </c>
    </row>
    <row r="4" spans="1:12" ht="36" x14ac:dyDescent="0.25">
      <c r="A4" s="13">
        <v>168</v>
      </c>
      <c r="B4" s="13">
        <v>7867</v>
      </c>
      <c r="C4" s="13">
        <v>339</v>
      </c>
      <c r="D4" s="13" t="s">
        <v>304</v>
      </c>
      <c r="E4" s="13" t="s">
        <v>323</v>
      </c>
      <c r="F4" s="13" t="s">
        <v>9</v>
      </c>
      <c r="G4" s="13" t="s">
        <v>16</v>
      </c>
      <c r="H4" s="11">
        <v>492</v>
      </c>
      <c r="I4" s="11">
        <v>7223</v>
      </c>
      <c r="J4" s="11">
        <v>33</v>
      </c>
      <c r="K4" s="11">
        <v>699000</v>
      </c>
      <c r="L4" s="10">
        <f>Table1[[#This Row],[تعداد دانلود]]+Table1[[#This Row],[تعداد تماشا ]]</f>
        <v>525</v>
      </c>
    </row>
    <row r="5" spans="1:12" ht="36" x14ac:dyDescent="0.25">
      <c r="A5" s="13">
        <v>183</v>
      </c>
      <c r="B5" s="13">
        <v>5222</v>
      </c>
      <c r="C5" s="13">
        <v>500</v>
      </c>
      <c r="D5" s="13" t="s">
        <v>334</v>
      </c>
      <c r="E5" s="13" t="s">
        <v>335</v>
      </c>
      <c r="F5" s="13" t="s">
        <v>5</v>
      </c>
      <c r="G5" s="13" t="s">
        <v>16</v>
      </c>
      <c r="H5" s="11">
        <v>447</v>
      </c>
      <c r="I5" s="11">
        <v>1782</v>
      </c>
      <c r="J5" s="11">
        <v>4</v>
      </c>
      <c r="K5" s="11">
        <v>249000</v>
      </c>
      <c r="L5" s="10">
        <f>Table1[[#This Row],[تعداد دانلود]]+Table1[[#This Row],[تعداد تماشا ]]</f>
        <v>451</v>
      </c>
    </row>
    <row r="6" spans="1:12" ht="36" x14ac:dyDescent="0.25">
      <c r="A6" s="13">
        <v>196</v>
      </c>
      <c r="B6" s="13">
        <v>8543</v>
      </c>
      <c r="C6" s="13">
        <v>41</v>
      </c>
      <c r="D6" s="13" t="s">
        <v>349</v>
      </c>
      <c r="E6" s="13" t="s">
        <v>348</v>
      </c>
      <c r="F6" s="13" t="s">
        <v>5</v>
      </c>
      <c r="G6" s="13" t="s">
        <v>16</v>
      </c>
      <c r="H6" s="11">
        <v>195</v>
      </c>
      <c r="I6" s="11">
        <v>4112</v>
      </c>
      <c r="J6" s="11">
        <v>229</v>
      </c>
      <c r="K6" s="11">
        <v>2099000</v>
      </c>
      <c r="L6" s="10">
        <f>Table1[[#This Row],[تعداد دانلود]]+Table1[[#This Row],[تعداد تماشا ]]</f>
        <v>424</v>
      </c>
    </row>
    <row r="7" spans="1:12" ht="36" x14ac:dyDescent="0.25">
      <c r="A7" s="13">
        <v>206</v>
      </c>
      <c r="B7" s="13">
        <v>9088</v>
      </c>
      <c r="C7" s="13">
        <v>608</v>
      </c>
      <c r="D7" s="13" t="s">
        <v>368</v>
      </c>
      <c r="E7" s="13" t="s">
        <v>369</v>
      </c>
      <c r="F7" s="13" t="s">
        <v>5</v>
      </c>
      <c r="G7" s="13" t="s">
        <v>16</v>
      </c>
      <c r="H7" s="11">
        <v>306</v>
      </c>
      <c r="I7" s="11">
        <v>3029</v>
      </c>
      <c r="J7" s="11">
        <v>96</v>
      </c>
      <c r="K7" s="11">
        <v>826000</v>
      </c>
      <c r="L7" s="10">
        <f>Table1[[#This Row],[تعداد دانلود]]+Table1[[#This Row],[تعداد تماشا ]]</f>
        <v>402</v>
      </c>
    </row>
    <row r="8" spans="1:12" ht="36" x14ac:dyDescent="0.25">
      <c r="A8" s="13">
        <v>203</v>
      </c>
      <c r="B8" s="13">
        <v>8943</v>
      </c>
      <c r="C8" s="13">
        <v>409</v>
      </c>
      <c r="D8" s="13" t="s">
        <v>362</v>
      </c>
      <c r="E8" s="13" t="s">
        <v>363</v>
      </c>
      <c r="F8" s="13" t="s">
        <v>5</v>
      </c>
      <c r="G8" s="13" t="s">
        <v>16</v>
      </c>
      <c r="H8" s="11">
        <v>188</v>
      </c>
      <c r="I8" s="11">
        <v>1877</v>
      </c>
      <c r="J8" s="11">
        <v>162</v>
      </c>
      <c r="K8" s="11">
        <v>0</v>
      </c>
      <c r="L8" s="10">
        <f>Table1[[#This Row],[تعداد دانلود]]+Table1[[#This Row],[تعداد تماشا ]]</f>
        <v>350</v>
      </c>
    </row>
    <row r="9" spans="1:12" ht="36" x14ac:dyDescent="0.25">
      <c r="A9" s="12">
        <v>52</v>
      </c>
      <c r="B9" s="12">
        <v>1232</v>
      </c>
      <c r="C9" s="12"/>
      <c r="D9" s="13" t="s">
        <v>115</v>
      </c>
      <c r="E9" s="14" t="s">
        <v>114</v>
      </c>
      <c r="F9" s="13" t="s">
        <v>9</v>
      </c>
      <c r="G9" s="13" t="s">
        <v>16</v>
      </c>
      <c r="H9" s="10">
        <v>284</v>
      </c>
      <c r="I9" s="10">
        <v>1304</v>
      </c>
      <c r="J9" s="10">
        <v>44</v>
      </c>
      <c r="K9" s="10">
        <f>34000+75000+33000+433500</f>
        <v>575500</v>
      </c>
      <c r="L9" s="10">
        <f>Table1[[#This Row],[تعداد دانلود]]+Table1[[#This Row],[تعداد تماشا ]]</f>
        <v>328</v>
      </c>
    </row>
    <row r="10" spans="1:12" ht="36" x14ac:dyDescent="0.25">
      <c r="A10" s="12">
        <v>83</v>
      </c>
      <c r="B10" s="12">
        <v>7781</v>
      </c>
      <c r="C10" s="12"/>
      <c r="D10" s="13" t="s">
        <v>166</v>
      </c>
      <c r="E10" s="14" t="s">
        <v>167</v>
      </c>
      <c r="F10" s="13" t="s">
        <v>5</v>
      </c>
      <c r="G10" s="13" t="s">
        <v>16</v>
      </c>
      <c r="H10" s="10">
        <v>197</v>
      </c>
      <c r="I10" s="10">
        <v>722</v>
      </c>
      <c r="J10" s="10">
        <v>113</v>
      </c>
      <c r="K10" s="10">
        <f>16000+528000+128000</f>
        <v>672000</v>
      </c>
      <c r="L10" s="10">
        <f>Table1[[#This Row],[تعداد دانلود]]+Table1[[#This Row],[تعداد تماشا ]]</f>
        <v>310</v>
      </c>
    </row>
    <row r="11" spans="1:12" ht="36" x14ac:dyDescent="0.25">
      <c r="A11" s="13">
        <v>182</v>
      </c>
      <c r="B11" s="13">
        <v>5228</v>
      </c>
      <c r="C11" s="13">
        <v>74</v>
      </c>
      <c r="D11" s="13" t="s">
        <v>332</v>
      </c>
      <c r="E11" s="13" t="s">
        <v>333</v>
      </c>
      <c r="F11" s="13" t="s">
        <v>5</v>
      </c>
      <c r="G11" s="13" t="s">
        <v>16</v>
      </c>
      <c r="H11" s="11">
        <v>225</v>
      </c>
      <c r="I11" s="11">
        <v>3109</v>
      </c>
      <c r="J11" s="11">
        <v>78</v>
      </c>
      <c r="K11" s="11">
        <v>882000</v>
      </c>
      <c r="L11" s="10">
        <f>Table1[[#This Row],[تعداد دانلود]]+Table1[[#This Row],[تعداد تماشا ]]</f>
        <v>303</v>
      </c>
    </row>
    <row r="12" spans="1:12" ht="36" x14ac:dyDescent="0.25">
      <c r="A12" s="13">
        <v>172</v>
      </c>
      <c r="B12" s="13">
        <v>9298</v>
      </c>
      <c r="C12" s="13">
        <v>812</v>
      </c>
      <c r="D12" s="13" t="s">
        <v>308</v>
      </c>
      <c r="E12" s="13" t="s">
        <v>316</v>
      </c>
      <c r="F12" s="13" t="s">
        <v>9</v>
      </c>
      <c r="G12" s="13" t="s">
        <v>16</v>
      </c>
      <c r="H12" s="11">
        <v>278</v>
      </c>
      <c r="I12" s="11">
        <v>3101</v>
      </c>
      <c r="J12" s="11">
        <v>23</v>
      </c>
      <c r="K12" s="11">
        <v>517000</v>
      </c>
      <c r="L12" s="10">
        <f>Table1[[#This Row],[تعداد دانلود]]+Table1[[#This Row],[تعداد تماشا ]]</f>
        <v>301</v>
      </c>
    </row>
    <row r="13" spans="1:12" ht="36" x14ac:dyDescent="0.25">
      <c r="A13" s="13">
        <v>171</v>
      </c>
      <c r="B13" s="13">
        <v>9273</v>
      </c>
      <c r="C13" s="13">
        <v>792</v>
      </c>
      <c r="D13" s="13" t="s">
        <v>307</v>
      </c>
      <c r="E13" s="13" t="s">
        <v>315</v>
      </c>
      <c r="F13" s="13" t="s">
        <v>9</v>
      </c>
      <c r="G13" s="13" t="s">
        <v>16</v>
      </c>
      <c r="H13" s="11">
        <v>267</v>
      </c>
      <c r="I13" s="11">
        <v>3648</v>
      </c>
      <c r="J13" s="11">
        <v>22</v>
      </c>
      <c r="K13" s="11">
        <v>425000</v>
      </c>
      <c r="L13" s="10">
        <f>Table1[[#This Row],[تعداد دانلود]]+Table1[[#This Row],[تعداد تماشا ]]</f>
        <v>289</v>
      </c>
    </row>
    <row r="14" spans="1:12" ht="36" x14ac:dyDescent="0.25">
      <c r="A14" s="12">
        <v>3</v>
      </c>
      <c r="B14" s="12">
        <v>7789</v>
      </c>
      <c r="C14" s="12"/>
      <c r="D14" s="13" t="s">
        <v>18</v>
      </c>
      <c r="E14" s="14" t="s">
        <v>17</v>
      </c>
      <c r="F14" s="13" t="s">
        <v>9</v>
      </c>
      <c r="G14" s="13" t="s">
        <v>16</v>
      </c>
      <c r="H14" s="10">
        <v>240</v>
      </c>
      <c r="I14" s="10">
        <v>1677</v>
      </c>
      <c r="J14" s="10">
        <v>49</v>
      </c>
      <c r="K14" s="10">
        <f>60000+168000+36000</f>
        <v>264000</v>
      </c>
      <c r="L14" s="10">
        <f>Table1[[#This Row],[تعداد دانلود]]+Table1[[#This Row],[تعداد تماشا ]]</f>
        <v>289</v>
      </c>
    </row>
    <row r="15" spans="1:12" ht="36" x14ac:dyDescent="0.25">
      <c r="A15" s="12">
        <v>6</v>
      </c>
      <c r="B15" s="12">
        <v>7792</v>
      </c>
      <c r="C15" s="12"/>
      <c r="D15" s="13" t="s">
        <v>24</v>
      </c>
      <c r="E15" s="14" t="s">
        <v>23</v>
      </c>
      <c r="F15" s="13" t="s">
        <v>9</v>
      </c>
      <c r="G15" s="13" t="s">
        <v>16</v>
      </c>
      <c r="H15" s="10">
        <v>215</v>
      </c>
      <c r="I15" s="10">
        <v>1690</v>
      </c>
      <c r="J15" s="10">
        <v>73</v>
      </c>
      <c r="K15" s="10">
        <f>77000+182000+119000</f>
        <v>378000</v>
      </c>
      <c r="L15" s="10">
        <f>Table1[[#This Row],[تعداد دانلود]]+Table1[[#This Row],[تعداد تماشا ]]</f>
        <v>288</v>
      </c>
    </row>
    <row r="16" spans="1:12" ht="36" x14ac:dyDescent="0.25">
      <c r="A16" s="12">
        <v>102</v>
      </c>
      <c r="B16" s="12">
        <v>7863</v>
      </c>
      <c r="C16" s="12"/>
      <c r="D16" s="13" t="s">
        <v>194</v>
      </c>
      <c r="E16" s="14" t="s">
        <v>195</v>
      </c>
      <c r="F16" s="13" t="s">
        <v>5</v>
      </c>
      <c r="G16" s="13" t="s">
        <v>16</v>
      </c>
      <c r="H16" s="10">
        <v>208</v>
      </c>
      <c r="I16" s="10">
        <v>2035</v>
      </c>
      <c r="J16" s="10">
        <v>75</v>
      </c>
      <c r="K16" s="10">
        <f>63000+343000+84000</f>
        <v>490000</v>
      </c>
      <c r="L16" s="10">
        <f>Table1[[#This Row],[تعداد دانلود]]+Table1[[#This Row],[تعداد تماشا ]]</f>
        <v>283</v>
      </c>
    </row>
    <row r="17" spans="1:12" x14ac:dyDescent="0.25">
      <c r="A17" s="12">
        <v>10</v>
      </c>
      <c r="B17" s="12">
        <v>7945</v>
      </c>
      <c r="C17" s="12"/>
      <c r="D17" s="13" t="s">
        <v>31</v>
      </c>
      <c r="E17" s="14" t="s">
        <v>32</v>
      </c>
      <c r="F17" s="13" t="s">
        <v>9</v>
      </c>
      <c r="G17" s="13" t="s">
        <v>11</v>
      </c>
      <c r="H17" s="10">
        <v>249</v>
      </c>
      <c r="I17" s="10">
        <v>8775</v>
      </c>
      <c r="J17" s="10">
        <v>29</v>
      </c>
      <c r="K17" s="10">
        <f>216000+84000+12000</f>
        <v>312000</v>
      </c>
      <c r="L17" s="10">
        <f>Table1[[#This Row],[تعداد دانلود]]+Table1[[#This Row],[تعداد تماشا ]]</f>
        <v>278</v>
      </c>
    </row>
    <row r="18" spans="1:12" ht="36" x14ac:dyDescent="0.25">
      <c r="A18" s="13">
        <v>202</v>
      </c>
      <c r="B18" s="13">
        <v>8781</v>
      </c>
      <c r="C18" s="13">
        <v>324</v>
      </c>
      <c r="D18" s="13" t="s">
        <v>360</v>
      </c>
      <c r="E18" s="13" t="s">
        <v>361</v>
      </c>
      <c r="F18" s="13" t="s">
        <v>5</v>
      </c>
      <c r="G18" s="13" t="s">
        <v>16</v>
      </c>
      <c r="H18" s="11">
        <v>195</v>
      </c>
      <c r="I18" s="11">
        <v>3313</v>
      </c>
      <c r="J18" s="11">
        <v>81</v>
      </c>
      <c r="K18" s="11">
        <v>977000</v>
      </c>
      <c r="L18" s="10">
        <f>Table1[[#This Row],[تعداد دانلود]]+Table1[[#This Row],[تعداد تماشا ]]</f>
        <v>276</v>
      </c>
    </row>
    <row r="19" spans="1:12" x14ac:dyDescent="0.25">
      <c r="A19" s="12">
        <v>35</v>
      </c>
      <c r="B19" s="12">
        <v>4279</v>
      </c>
      <c r="C19" s="12"/>
      <c r="D19" s="13" t="s">
        <v>80</v>
      </c>
      <c r="E19" s="14" t="s">
        <v>81</v>
      </c>
      <c r="F19" s="13" t="s">
        <v>9</v>
      </c>
      <c r="G19" s="13" t="s">
        <v>11</v>
      </c>
      <c r="H19" s="10">
        <v>200</v>
      </c>
      <c r="I19" s="10">
        <v>3005</v>
      </c>
      <c r="J19" s="10">
        <v>65</v>
      </c>
      <c r="K19" s="10">
        <f>310000+104000+108000+40000</f>
        <v>562000</v>
      </c>
      <c r="L19" s="10">
        <f>Table1[[#This Row],[تعداد دانلود]]+Table1[[#This Row],[تعداد تماشا ]]</f>
        <v>265</v>
      </c>
    </row>
    <row r="20" spans="1:12" x14ac:dyDescent="0.25">
      <c r="A20" s="12">
        <v>13</v>
      </c>
      <c r="B20" s="12">
        <v>8009</v>
      </c>
      <c r="C20" s="12"/>
      <c r="D20" s="13" t="s">
        <v>37</v>
      </c>
      <c r="E20" s="14" t="s">
        <v>38</v>
      </c>
      <c r="F20" s="13" t="s">
        <v>9</v>
      </c>
      <c r="G20" s="13" t="s">
        <v>11</v>
      </c>
      <c r="H20" s="10">
        <v>196</v>
      </c>
      <c r="I20" s="10">
        <v>2768</v>
      </c>
      <c r="J20" s="10">
        <v>68</v>
      </c>
      <c r="K20" s="10">
        <f>140000+161000</f>
        <v>301000</v>
      </c>
      <c r="L20" s="10">
        <f>Table1[[#This Row],[تعداد دانلود]]+Table1[[#This Row],[تعداد تماشا ]]</f>
        <v>264</v>
      </c>
    </row>
    <row r="21" spans="1:12" x14ac:dyDescent="0.25">
      <c r="A21" s="12">
        <v>1</v>
      </c>
      <c r="B21" s="12">
        <v>6482</v>
      </c>
      <c r="C21" s="12"/>
      <c r="D21" s="13" t="s">
        <v>8</v>
      </c>
      <c r="E21" s="14" t="s">
        <v>13</v>
      </c>
      <c r="F21" s="13" t="s">
        <v>9</v>
      </c>
      <c r="G21" s="13" t="s">
        <v>11</v>
      </c>
      <c r="H21" s="10">
        <v>223</v>
      </c>
      <c r="I21" s="10">
        <v>3954</v>
      </c>
      <c r="J21" s="10">
        <v>39</v>
      </c>
      <c r="K21" s="10">
        <f>81000+78000+27000+70500</f>
        <v>256500</v>
      </c>
      <c r="L21" s="10">
        <f>Table1[[#This Row],[تعداد دانلود]]+Table1[[#This Row],[تعداد تماشا ]]</f>
        <v>262</v>
      </c>
    </row>
    <row r="22" spans="1:12" ht="36" x14ac:dyDescent="0.25">
      <c r="A22" s="12">
        <v>7</v>
      </c>
      <c r="B22" s="12">
        <v>7793</v>
      </c>
      <c r="C22" s="12"/>
      <c r="D22" s="13" t="s">
        <v>25</v>
      </c>
      <c r="E22" s="14" t="s">
        <v>26</v>
      </c>
      <c r="F22" s="13" t="s">
        <v>9</v>
      </c>
      <c r="G22" s="13" t="s">
        <v>16</v>
      </c>
      <c r="H22" s="10">
        <v>217</v>
      </c>
      <c r="I22" s="10">
        <v>1256</v>
      </c>
      <c r="J22" s="10">
        <v>41</v>
      </c>
      <c r="K22" s="10">
        <f>36000+150000+48000</f>
        <v>234000</v>
      </c>
      <c r="L22" s="10">
        <f>Table1[[#This Row],[تعداد دانلود]]+Table1[[#This Row],[تعداد تماشا ]]</f>
        <v>258</v>
      </c>
    </row>
    <row r="23" spans="1:12" ht="36" x14ac:dyDescent="0.25">
      <c r="A23" s="12">
        <v>54</v>
      </c>
      <c r="B23" s="12">
        <v>1657</v>
      </c>
      <c r="C23" s="12"/>
      <c r="D23" s="13" t="s">
        <v>118</v>
      </c>
      <c r="E23" s="14" t="s">
        <v>119</v>
      </c>
      <c r="F23" s="13" t="s">
        <v>9</v>
      </c>
      <c r="G23" s="13" t="s">
        <v>16</v>
      </c>
      <c r="H23" s="10">
        <v>164</v>
      </c>
      <c r="I23" s="10">
        <v>1244</v>
      </c>
      <c r="J23" s="10">
        <v>56</v>
      </c>
      <c r="K23" s="10">
        <f>24000+83000+28000+450000</f>
        <v>585000</v>
      </c>
      <c r="L23" s="10">
        <f>Table1[[#This Row],[تعداد دانلود]]+Table1[[#This Row],[تعداد تماشا ]]</f>
        <v>220</v>
      </c>
    </row>
    <row r="24" spans="1:12" ht="36" x14ac:dyDescent="0.25">
      <c r="A24" s="12">
        <v>31</v>
      </c>
      <c r="B24" s="12">
        <v>3975</v>
      </c>
      <c r="C24" s="12"/>
      <c r="D24" s="13" t="s">
        <v>72</v>
      </c>
      <c r="E24" s="14" t="s">
        <v>73</v>
      </c>
      <c r="F24" s="13" t="s">
        <v>9</v>
      </c>
      <c r="G24" s="13" t="s">
        <v>16</v>
      </c>
      <c r="H24" s="10">
        <v>147</v>
      </c>
      <c r="I24" s="10">
        <v>1355</v>
      </c>
      <c r="J24" s="10">
        <v>54</v>
      </c>
      <c r="K24" s="10">
        <f>157500+27000+76000+21000</f>
        <v>281500</v>
      </c>
      <c r="L24" s="10">
        <f>Table1[[#This Row],[تعداد دانلود]]+Table1[[#This Row],[تعداد تماشا ]]</f>
        <v>201</v>
      </c>
    </row>
    <row r="25" spans="1:12" x14ac:dyDescent="0.25">
      <c r="A25" s="12">
        <v>40</v>
      </c>
      <c r="B25" s="12">
        <v>6481</v>
      </c>
      <c r="C25" s="12"/>
      <c r="D25" s="13" t="s">
        <v>90</v>
      </c>
      <c r="E25" s="14" t="s">
        <v>91</v>
      </c>
      <c r="F25" s="13" t="s">
        <v>9</v>
      </c>
      <c r="G25" s="13" t="s">
        <v>11</v>
      </c>
      <c r="H25" s="10">
        <v>178</v>
      </c>
      <c r="I25" s="10">
        <v>2179</v>
      </c>
      <c r="J25" s="10">
        <v>23</v>
      </c>
      <c r="K25" s="10">
        <f>60000+48000+9000+33000</f>
        <v>150000</v>
      </c>
      <c r="L25" s="10">
        <f>Table1[[#This Row],[تعداد دانلود]]+Table1[[#This Row],[تعداد تماشا ]]</f>
        <v>201</v>
      </c>
    </row>
    <row r="26" spans="1:12" x14ac:dyDescent="0.25">
      <c r="A26" s="12">
        <v>38</v>
      </c>
      <c r="B26" s="12">
        <v>6455</v>
      </c>
      <c r="C26" s="12"/>
      <c r="D26" s="13" t="s">
        <v>86</v>
      </c>
      <c r="E26" s="14" t="s">
        <v>87</v>
      </c>
      <c r="F26" s="13" t="s">
        <v>9</v>
      </c>
      <c r="G26" s="13" t="s">
        <v>11</v>
      </c>
      <c r="H26" s="10">
        <v>155</v>
      </c>
      <c r="I26" s="10">
        <v>2194</v>
      </c>
      <c r="J26" s="10">
        <v>31</v>
      </c>
      <c r="K26" s="10">
        <f>51000+39000+15000+27000</f>
        <v>132000</v>
      </c>
      <c r="L26" s="10">
        <f>Table1[[#This Row],[تعداد دانلود]]+Table1[[#This Row],[تعداد تماشا ]]</f>
        <v>186</v>
      </c>
    </row>
    <row r="27" spans="1:12" ht="36" x14ac:dyDescent="0.25">
      <c r="A27" s="13">
        <v>164</v>
      </c>
      <c r="B27" s="13">
        <v>4991</v>
      </c>
      <c r="C27" s="13">
        <v>143</v>
      </c>
      <c r="D27" s="13" t="s">
        <v>297</v>
      </c>
      <c r="E27" s="13" t="s">
        <v>298</v>
      </c>
      <c r="F27" s="13" t="s">
        <v>9</v>
      </c>
      <c r="G27" s="13" t="s">
        <v>16</v>
      </c>
      <c r="H27" s="11">
        <v>154</v>
      </c>
      <c r="I27" s="11">
        <v>1099</v>
      </c>
      <c r="J27" s="11">
        <v>31</v>
      </c>
      <c r="K27" s="11">
        <v>307000</v>
      </c>
      <c r="L27" s="10">
        <f>Table1[[#This Row],[تعداد دانلود]]+Table1[[#This Row],[تعداد تماشا ]]</f>
        <v>185</v>
      </c>
    </row>
    <row r="28" spans="1:12" ht="36" x14ac:dyDescent="0.25">
      <c r="A28" s="13">
        <v>207</v>
      </c>
      <c r="B28" s="13">
        <v>3145</v>
      </c>
      <c r="C28" s="13"/>
      <c r="D28" s="13" t="s">
        <v>370</v>
      </c>
      <c r="E28" s="13" t="s">
        <v>371</v>
      </c>
      <c r="F28" s="13" t="s">
        <v>5</v>
      </c>
      <c r="G28" s="13" t="s">
        <v>16</v>
      </c>
      <c r="H28" s="11">
        <v>135</v>
      </c>
      <c r="I28" s="11">
        <v>401</v>
      </c>
      <c r="J28" s="11">
        <v>49</v>
      </c>
      <c r="K28" s="11">
        <f>381000+24000+48000</f>
        <v>453000</v>
      </c>
      <c r="L28" s="10">
        <f>Table1[[#This Row],[تعداد دانلود]]+Table1[[#This Row],[تعداد تماشا ]]</f>
        <v>184</v>
      </c>
    </row>
    <row r="29" spans="1:12" ht="36" x14ac:dyDescent="0.25">
      <c r="A29" s="12">
        <v>2</v>
      </c>
      <c r="B29" s="12">
        <v>7782</v>
      </c>
      <c r="C29" s="12"/>
      <c r="D29" s="13" t="s">
        <v>15</v>
      </c>
      <c r="E29" s="14" t="s">
        <v>14</v>
      </c>
      <c r="F29" s="13" t="s">
        <v>9</v>
      </c>
      <c r="G29" s="13" t="s">
        <v>16</v>
      </c>
      <c r="H29" s="10">
        <v>145</v>
      </c>
      <c r="I29" s="10">
        <v>1235</v>
      </c>
      <c r="J29" s="10">
        <v>24</v>
      </c>
      <c r="K29" s="10">
        <f>4200+91000+35000</f>
        <v>130200</v>
      </c>
      <c r="L29" s="10">
        <f>Table1[[#This Row],[تعداد دانلود]]+Table1[[#This Row],[تعداد تماشا ]]</f>
        <v>169</v>
      </c>
    </row>
    <row r="30" spans="1:12" x14ac:dyDescent="0.25">
      <c r="A30" s="12">
        <v>71</v>
      </c>
      <c r="B30" s="12">
        <v>3014</v>
      </c>
      <c r="C30" s="12"/>
      <c r="D30" s="13" t="s">
        <v>153</v>
      </c>
      <c r="E30" s="14" t="s">
        <v>152</v>
      </c>
      <c r="F30" s="13" t="s">
        <v>9</v>
      </c>
      <c r="G30" s="13" t="s">
        <v>11</v>
      </c>
      <c r="H30" s="10">
        <v>120</v>
      </c>
      <c r="I30" s="10">
        <v>1129</v>
      </c>
      <c r="J30" s="10">
        <v>46</v>
      </c>
      <c r="K30" s="10">
        <f>398000+32000+80000+24000</f>
        <v>534000</v>
      </c>
      <c r="L30" s="10">
        <f>Table1[[#This Row],[تعداد دانلود]]+Table1[[#This Row],[تعداد تماشا ]]</f>
        <v>166</v>
      </c>
    </row>
    <row r="31" spans="1:12" ht="36" x14ac:dyDescent="0.25">
      <c r="A31" s="12">
        <v>4</v>
      </c>
      <c r="B31" s="12">
        <v>7790</v>
      </c>
      <c r="C31" s="12"/>
      <c r="D31" s="13" t="s">
        <v>19</v>
      </c>
      <c r="E31" s="14" t="s">
        <v>20</v>
      </c>
      <c r="F31" s="13" t="s">
        <v>9</v>
      </c>
      <c r="G31" s="13" t="s">
        <v>16</v>
      </c>
      <c r="H31" s="10">
        <v>132</v>
      </c>
      <c r="I31" s="10">
        <v>678</v>
      </c>
      <c r="J31" s="10">
        <v>22</v>
      </c>
      <c r="K31" s="10">
        <f>21000+77000+21000</f>
        <v>119000</v>
      </c>
      <c r="L31" s="10">
        <f>Table1[[#This Row],[تعداد دانلود]]+Table1[[#This Row],[تعداد تماشا ]]</f>
        <v>154</v>
      </c>
    </row>
    <row r="32" spans="1:12" ht="36" x14ac:dyDescent="0.25">
      <c r="A32" s="12">
        <v>62</v>
      </c>
      <c r="B32" s="12">
        <v>1675</v>
      </c>
      <c r="C32" s="12"/>
      <c r="D32" s="13" t="s">
        <v>134</v>
      </c>
      <c r="E32" s="14" t="s">
        <v>135</v>
      </c>
      <c r="F32" s="13" t="s">
        <v>9</v>
      </c>
      <c r="G32" s="13" t="s">
        <v>16</v>
      </c>
      <c r="H32" s="10">
        <v>89</v>
      </c>
      <c r="I32" s="10">
        <v>1103</v>
      </c>
      <c r="J32" s="10">
        <v>48</v>
      </c>
      <c r="K32" s="10">
        <f>25000+85000+15000+460000</f>
        <v>585000</v>
      </c>
      <c r="L32" s="10">
        <f>Table1[[#This Row],[تعداد دانلود]]+Table1[[#This Row],[تعداد تماشا ]]</f>
        <v>137</v>
      </c>
    </row>
    <row r="33" spans="1:12" ht="36" x14ac:dyDescent="0.25">
      <c r="A33" s="13">
        <v>198</v>
      </c>
      <c r="B33" s="13">
        <v>9434</v>
      </c>
      <c r="C33" s="13">
        <v>961</v>
      </c>
      <c r="D33" s="13" t="s">
        <v>352</v>
      </c>
      <c r="E33" s="13" t="s">
        <v>353</v>
      </c>
      <c r="F33" s="13" t="s">
        <v>5</v>
      </c>
      <c r="G33" s="13" t="s">
        <v>16</v>
      </c>
      <c r="H33" s="11">
        <v>98</v>
      </c>
      <c r="I33" s="11">
        <v>1648</v>
      </c>
      <c r="J33" s="11">
        <v>38</v>
      </c>
      <c r="K33" s="11">
        <v>439000</v>
      </c>
      <c r="L33" s="10">
        <f>Table1[[#This Row],[تعداد دانلود]]+Table1[[#This Row],[تعداد تماشا ]]</f>
        <v>136</v>
      </c>
    </row>
    <row r="34" spans="1:12" ht="36" x14ac:dyDescent="0.25">
      <c r="A34" s="12">
        <v>55</v>
      </c>
      <c r="B34" s="12">
        <v>1652</v>
      </c>
      <c r="C34" s="12"/>
      <c r="D34" s="13" t="s">
        <v>120</v>
      </c>
      <c r="E34" s="14" t="s">
        <v>121</v>
      </c>
      <c r="F34" s="13" t="s">
        <v>9</v>
      </c>
      <c r="G34" s="13" t="s">
        <v>16</v>
      </c>
      <c r="H34" s="10">
        <v>91</v>
      </c>
      <c r="I34" s="10">
        <v>232</v>
      </c>
      <c r="J34" s="10">
        <v>36</v>
      </c>
      <c r="K34" s="10">
        <f>570000+60000+35000</f>
        <v>665000</v>
      </c>
      <c r="L34" s="10">
        <f>Table1[[#This Row],[تعداد دانلود]]+Table1[[#This Row],[تعداد تماشا ]]</f>
        <v>127</v>
      </c>
    </row>
    <row r="35" spans="1:12" ht="36" x14ac:dyDescent="0.25">
      <c r="A35" s="12">
        <v>9</v>
      </c>
      <c r="B35" s="12">
        <v>7918</v>
      </c>
      <c r="C35" s="12"/>
      <c r="D35" s="13" t="s">
        <v>29</v>
      </c>
      <c r="E35" s="14" t="s">
        <v>30</v>
      </c>
      <c r="F35" s="13" t="s">
        <v>9</v>
      </c>
      <c r="G35" s="13" t="s">
        <v>16</v>
      </c>
      <c r="H35" s="10">
        <v>94</v>
      </c>
      <c r="I35" s="10">
        <v>1206</v>
      </c>
      <c r="J35" s="10">
        <v>31</v>
      </c>
      <c r="K35" s="10">
        <f>84000+126000+28000</f>
        <v>238000</v>
      </c>
      <c r="L35" s="10">
        <f>Table1[[#This Row],[تعداد دانلود]]+Table1[[#This Row],[تعداد تماشا ]]</f>
        <v>125</v>
      </c>
    </row>
    <row r="36" spans="1:12" ht="36" x14ac:dyDescent="0.25">
      <c r="A36" s="13">
        <v>204</v>
      </c>
      <c r="B36" s="13">
        <v>8984</v>
      </c>
      <c r="C36" s="13">
        <v>776</v>
      </c>
      <c r="D36" s="13" t="s">
        <v>364</v>
      </c>
      <c r="E36" s="13" t="s">
        <v>365</v>
      </c>
      <c r="F36" s="13" t="s">
        <v>5</v>
      </c>
      <c r="G36" s="13" t="s">
        <v>16</v>
      </c>
      <c r="H36" s="11">
        <v>65</v>
      </c>
      <c r="I36" s="11">
        <v>441</v>
      </c>
      <c r="J36" s="11">
        <v>59</v>
      </c>
      <c r="K36" s="11">
        <v>619000</v>
      </c>
      <c r="L36" s="10">
        <f>Table1[[#This Row],[تعداد دانلود]]+Table1[[#This Row],[تعداد تماشا ]]</f>
        <v>124</v>
      </c>
    </row>
    <row r="37" spans="1:12" ht="36" x14ac:dyDescent="0.25">
      <c r="A37" s="13">
        <v>163</v>
      </c>
      <c r="B37" s="13">
        <v>4896</v>
      </c>
      <c r="C37" s="13">
        <v>176</v>
      </c>
      <c r="D37" s="13" t="s">
        <v>295</v>
      </c>
      <c r="E37" s="13" t="s">
        <v>296</v>
      </c>
      <c r="F37" s="13" t="s">
        <v>9</v>
      </c>
      <c r="G37" s="13" t="s">
        <v>16</v>
      </c>
      <c r="H37" s="11">
        <v>100</v>
      </c>
      <c r="I37" s="11">
        <v>1942</v>
      </c>
      <c r="J37" s="11">
        <v>19</v>
      </c>
      <c r="K37" s="11">
        <v>263000</v>
      </c>
      <c r="L37" s="10">
        <f>Table1[[#This Row],[تعداد دانلود]]+Table1[[#This Row],[تعداد تماشا ]]</f>
        <v>119</v>
      </c>
    </row>
    <row r="38" spans="1:12" x14ac:dyDescent="0.25">
      <c r="A38" s="12">
        <v>12</v>
      </c>
      <c r="B38" s="12">
        <v>8008</v>
      </c>
      <c r="C38" s="12"/>
      <c r="D38" s="13" t="s">
        <v>35</v>
      </c>
      <c r="E38" s="14" t="s">
        <v>36</v>
      </c>
      <c r="F38" s="13" t="s">
        <v>9</v>
      </c>
      <c r="G38" s="13" t="s">
        <v>11</v>
      </c>
      <c r="H38" s="10">
        <v>92</v>
      </c>
      <c r="I38" s="10">
        <v>624</v>
      </c>
      <c r="J38" s="10">
        <v>26</v>
      </c>
      <c r="K38" s="10">
        <f>21000+105000</f>
        <v>126000</v>
      </c>
      <c r="L38" s="10">
        <f>Table1[[#This Row],[تعداد دانلود]]+Table1[[#This Row],[تعداد تماشا ]]</f>
        <v>118</v>
      </c>
    </row>
    <row r="39" spans="1:12" ht="36" x14ac:dyDescent="0.25">
      <c r="A39" s="13">
        <v>169</v>
      </c>
      <c r="B39" s="13">
        <v>8772</v>
      </c>
      <c r="C39" s="13">
        <v>316</v>
      </c>
      <c r="D39" s="13" t="s">
        <v>305</v>
      </c>
      <c r="E39" s="13" t="s">
        <v>322</v>
      </c>
      <c r="F39" s="13" t="s">
        <v>9</v>
      </c>
      <c r="G39" s="13" t="s">
        <v>16</v>
      </c>
      <c r="H39" s="11">
        <v>93</v>
      </c>
      <c r="I39" s="11">
        <v>2347</v>
      </c>
      <c r="J39" s="11">
        <v>24</v>
      </c>
      <c r="K39" s="11">
        <v>372000</v>
      </c>
      <c r="L39" s="10">
        <f>Table1[[#This Row],[تعداد دانلود]]+Table1[[#This Row],[تعداد تماشا ]]</f>
        <v>117</v>
      </c>
    </row>
    <row r="40" spans="1:12" x14ac:dyDescent="0.25">
      <c r="A40" s="13">
        <v>184</v>
      </c>
      <c r="B40" s="13">
        <v>5693</v>
      </c>
      <c r="C40" s="13">
        <v>25</v>
      </c>
      <c r="D40" s="13" t="s">
        <v>336</v>
      </c>
      <c r="E40" s="13" t="s">
        <v>337</v>
      </c>
      <c r="F40" s="13" t="s">
        <v>5</v>
      </c>
      <c r="G40" s="13" t="s">
        <v>11</v>
      </c>
      <c r="H40" s="11">
        <v>59</v>
      </c>
      <c r="I40" s="11">
        <v>810</v>
      </c>
      <c r="J40" s="11">
        <v>53</v>
      </c>
      <c r="K40" s="11">
        <v>399000</v>
      </c>
      <c r="L40" s="10">
        <f>Table1[[#This Row],[تعداد دانلود]]+Table1[[#This Row],[تعداد تماشا ]]</f>
        <v>112</v>
      </c>
    </row>
    <row r="41" spans="1:12" x14ac:dyDescent="0.25">
      <c r="A41" s="12">
        <v>36</v>
      </c>
      <c r="B41" s="12">
        <v>4528</v>
      </c>
      <c r="C41" s="12"/>
      <c r="D41" s="13" t="s">
        <v>82</v>
      </c>
      <c r="E41" s="14" t="s">
        <v>83</v>
      </c>
      <c r="F41" s="13" t="s">
        <v>9</v>
      </c>
      <c r="G41" s="13" t="s">
        <v>11</v>
      </c>
      <c r="H41" s="10">
        <v>95</v>
      </c>
      <c r="I41" s="10">
        <v>631</v>
      </c>
      <c r="J41" s="10">
        <v>17</v>
      </c>
      <c r="K41" s="10">
        <f>12000+21000+9000+48000</f>
        <v>90000</v>
      </c>
      <c r="L41" s="10">
        <f>Table1[[#This Row],[تعداد دانلود]]+Table1[[#This Row],[تعداد تماشا ]]</f>
        <v>112</v>
      </c>
    </row>
    <row r="42" spans="1:12" ht="36" x14ac:dyDescent="0.25">
      <c r="A42" s="13">
        <v>170</v>
      </c>
      <c r="B42" s="13">
        <v>8710</v>
      </c>
      <c r="C42" s="13">
        <v>268</v>
      </c>
      <c r="D42" s="13" t="s">
        <v>306</v>
      </c>
      <c r="E42" s="13" t="s">
        <v>321</v>
      </c>
      <c r="F42" s="13" t="s">
        <v>9</v>
      </c>
      <c r="G42" s="13" t="s">
        <v>16</v>
      </c>
      <c r="H42" s="11">
        <v>110</v>
      </c>
      <c r="I42" s="11">
        <v>2728</v>
      </c>
      <c r="J42" s="11"/>
      <c r="K42" s="11">
        <v>190000</v>
      </c>
      <c r="L42" s="10">
        <f>Table1[[#This Row],[تعداد دانلود]]+Table1[[#This Row],[تعداد تماشا ]]</f>
        <v>110</v>
      </c>
    </row>
    <row r="43" spans="1:12" ht="36" x14ac:dyDescent="0.25">
      <c r="A43" s="12">
        <v>5</v>
      </c>
      <c r="B43" s="12">
        <v>7791</v>
      </c>
      <c r="C43" s="12"/>
      <c r="D43" s="13" t="s">
        <v>22</v>
      </c>
      <c r="E43" s="14" t="s">
        <v>21</v>
      </c>
      <c r="F43" s="13" t="s">
        <v>9</v>
      </c>
      <c r="G43" s="13" t="s">
        <v>16</v>
      </c>
      <c r="H43" s="10">
        <v>97</v>
      </c>
      <c r="I43" s="10">
        <v>260</v>
      </c>
      <c r="J43" s="10">
        <v>12</v>
      </c>
      <c r="K43" s="10">
        <f>18000+48000+6000</f>
        <v>72000</v>
      </c>
      <c r="L43" s="10">
        <f>Table1[[#This Row],[تعداد دانلود]]+Table1[[#This Row],[تعداد تماشا ]]</f>
        <v>109</v>
      </c>
    </row>
    <row r="44" spans="1:12" ht="36" x14ac:dyDescent="0.25">
      <c r="A44" s="13">
        <v>167</v>
      </c>
      <c r="B44" s="13">
        <v>7795</v>
      </c>
      <c r="C44" s="13">
        <v>80</v>
      </c>
      <c r="D44" s="13" t="s">
        <v>303</v>
      </c>
      <c r="E44" s="13" t="s">
        <v>324</v>
      </c>
      <c r="F44" s="13" t="s">
        <v>9</v>
      </c>
      <c r="G44" s="13" t="s">
        <v>16</v>
      </c>
      <c r="H44" s="11">
        <v>92</v>
      </c>
      <c r="I44" s="11">
        <v>2118</v>
      </c>
      <c r="J44" s="11">
        <v>14</v>
      </c>
      <c r="K44" s="11">
        <v>230000</v>
      </c>
      <c r="L44" s="10">
        <f>Table1[[#This Row],[تعداد دانلود]]+Table1[[#This Row],[تعداد تماشا ]]</f>
        <v>106</v>
      </c>
    </row>
    <row r="45" spans="1:12" x14ac:dyDescent="0.25">
      <c r="A45" s="12">
        <v>8</v>
      </c>
      <c r="B45" s="12">
        <v>7873</v>
      </c>
      <c r="C45" s="12"/>
      <c r="D45" s="13" t="s">
        <v>27</v>
      </c>
      <c r="E45" s="14" t="s">
        <v>28</v>
      </c>
      <c r="F45" s="13" t="s">
        <v>9</v>
      </c>
      <c r="G45" s="13" t="s">
        <v>11</v>
      </c>
      <c r="H45" s="10">
        <v>84</v>
      </c>
      <c r="I45" s="10">
        <v>1166</v>
      </c>
      <c r="J45" s="10">
        <v>22</v>
      </c>
      <c r="K45" s="10">
        <f>77000+105000</f>
        <v>182000</v>
      </c>
      <c r="L45" s="10">
        <f>Table1[[#This Row],[تعداد دانلود]]+Table1[[#This Row],[تعداد تماشا ]]</f>
        <v>106</v>
      </c>
    </row>
    <row r="46" spans="1:12" x14ac:dyDescent="0.25">
      <c r="A46" s="12">
        <v>93</v>
      </c>
      <c r="B46" s="12">
        <v>6316</v>
      </c>
      <c r="C46" s="12"/>
      <c r="D46" s="13" t="s">
        <v>178</v>
      </c>
      <c r="E46" s="14" t="s">
        <v>179</v>
      </c>
      <c r="F46" s="13" t="s">
        <v>5</v>
      </c>
      <c r="G46" s="13" t="s">
        <v>11</v>
      </c>
      <c r="H46" s="10">
        <v>79</v>
      </c>
      <c r="I46" s="10">
        <v>281</v>
      </c>
      <c r="J46" s="10">
        <v>25</v>
      </c>
      <c r="K46" s="10">
        <f>42000+15000+30000+24000</f>
        <v>111000</v>
      </c>
      <c r="L46" s="10">
        <f>Table1[[#This Row],[تعداد دانلود]]+Table1[[#This Row],[تعداد تماشا ]]</f>
        <v>104</v>
      </c>
    </row>
    <row r="47" spans="1:12" ht="36" x14ac:dyDescent="0.25">
      <c r="A47" s="12">
        <v>24</v>
      </c>
      <c r="B47" s="12">
        <v>3836</v>
      </c>
      <c r="C47" s="12"/>
      <c r="D47" s="13">
        <v>1917</v>
      </c>
      <c r="E47" s="14" t="s">
        <v>59</v>
      </c>
      <c r="F47" s="13" t="s">
        <v>9</v>
      </c>
      <c r="G47" s="13" t="s">
        <v>16</v>
      </c>
      <c r="H47" s="10">
        <v>80</v>
      </c>
      <c r="I47" s="10">
        <v>1097</v>
      </c>
      <c r="J47" s="10">
        <v>21</v>
      </c>
      <c r="K47" s="10">
        <f>21000+37000+3000+73500</f>
        <v>134500</v>
      </c>
      <c r="L47" s="10">
        <f>Table1[[#This Row],[تعداد دانلود]]+Table1[[#This Row],[تعداد تماشا ]]</f>
        <v>101</v>
      </c>
    </row>
    <row r="48" spans="1:12" ht="36" x14ac:dyDescent="0.25">
      <c r="A48" s="12">
        <v>11</v>
      </c>
      <c r="B48" s="12">
        <v>7948</v>
      </c>
      <c r="C48" s="12"/>
      <c r="D48" s="13" t="s">
        <v>33</v>
      </c>
      <c r="E48" s="14" t="s">
        <v>34</v>
      </c>
      <c r="F48" s="13" t="s">
        <v>9</v>
      </c>
      <c r="G48" s="13" t="s">
        <v>16</v>
      </c>
      <c r="H48" s="10">
        <v>73</v>
      </c>
      <c r="I48" s="10">
        <v>499</v>
      </c>
      <c r="J48" s="10">
        <v>27</v>
      </c>
      <c r="K48" s="10">
        <f>14000+126000+200000</f>
        <v>340000</v>
      </c>
      <c r="L48" s="10">
        <f>Table1[[#This Row],[تعداد دانلود]]+Table1[[#This Row],[تعداد تماشا ]]</f>
        <v>100</v>
      </c>
    </row>
    <row r="49" spans="1:12" ht="36" x14ac:dyDescent="0.25">
      <c r="A49" s="12">
        <v>116</v>
      </c>
      <c r="B49" s="12">
        <v>3771</v>
      </c>
      <c r="C49" s="12"/>
      <c r="D49" s="13" t="s">
        <v>216</v>
      </c>
      <c r="E49" s="14" t="s">
        <v>217</v>
      </c>
      <c r="F49" s="13" t="s">
        <v>5</v>
      </c>
      <c r="G49" s="13" t="s">
        <v>16</v>
      </c>
      <c r="H49" s="10">
        <v>51</v>
      </c>
      <c r="I49" s="10">
        <v>42</v>
      </c>
      <c r="J49" s="10">
        <v>49</v>
      </c>
      <c r="K49" s="10">
        <f>75750+34500+15000</f>
        <v>125250</v>
      </c>
      <c r="L49" s="10">
        <f>Table1[[#This Row],[تعداد دانلود]]+Table1[[#This Row],[تعداد تماشا ]]</f>
        <v>100</v>
      </c>
    </row>
    <row r="50" spans="1:12" ht="36" x14ac:dyDescent="0.25">
      <c r="A50" s="12">
        <v>59</v>
      </c>
      <c r="B50" s="12">
        <v>1291</v>
      </c>
      <c r="C50" s="12"/>
      <c r="D50" s="13" t="s">
        <v>128</v>
      </c>
      <c r="E50" s="14" t="s">
        <v>129</v>
      </c>
      <c r="F50" s="13" t="s">
        <v>9</v>
      </c>
      <c r="G50" s="13" t="s">
        <v>16</v>
      </c>
      <c r="H50" s="10">
        <v>34</v>
      </c>
      <c r="I50" s="10">
        <v>12</v>
      </c>
      <c r="J50" s="10">
        <v>64</v>
      </c>
      <c r="K50" s="10">
        <f>258000+55000+92000+30000</f>
        <v>435000</v>
      </c>
      <c r="L50" s="10">
        <f>Table1[[#This Row],[تعداد دانلود]]+Table1[[#This Row],[تعداد تماشا ]]</f>
        <v>98</v>
      </c>
    </row>
    <row r="51" spans="1:12" ht="36" x14ac:dyDescent="0.25">
      <c r="A51" s="12">
        <v>21</v>
      </c>
      <c r="B51" s="12">
        <v>3791</v>
      </c>
      <c r="C51" s="12"/>
      <c r="D51" s="13" t="s">
        <v>51</v>
      </c>
      <c r="E51" s="14" t="s">
        <v>52</v>
      </c>
      <c r="F51" s="13" t="s">
        <v>9</v>
      </c>
      <c r="G51" s="13" t="s">
        <v>16</v>
      </c>
      <c r="H51" s="10">
        <v>82</v>
      </c>
      <c r="I51" s="10">
        <v>1115</v>
      </c>
      <c r="J51" s="10">
        <v>13</v>
      </c>
      <c r="K51" s="10">
        <f>133500+18000+21000+9000</f>
        <v>181500</v>
      </c>
      <c r="L51" s="10">
        <f>Table1[[#This Row],[تعداد دانلود]]+Table1[[#This Row],[تعداد تماشا ]]</f>
        <v>95</v>
      </c>
    </row>
    <row r="52" spans="1:12" ht="36" x14ac:dyDescent="0.25">
      <c r="A52" s="12">
        <v>22</v>
      </c>
      <c r="B52" s="12">
        <v>3848</v>
      </c>
      <c r="C52" s="12"/>
      <c r="D52" s="13" t="s">
        <v>55</v>
      </c>
      <c r="E52" s="14" t="s">
        <v>56</v>
      </c>
      <c r="F52" s="13" t="s">
        <v>9</v>
      </c>
      <c r="G52" s="13" t="s">
        <v>16</v>
      </c>
      <c r="H52" s="10">
        <v>77</v>
      </c>
      <c r="I52" s="10">
        <v>514</v>
      </c>
      <c r="J52" s="10">
        <v>13</v>
      </c>
      <c r="K52" s="10">
        <f>12000+18000+6000+76500</f>
        <v>112500</v>
      </c>
      <c r="L52" s="10">
        <f>Table1[[#This Row],[تعداد دانلود]]+Table1[[#This Row],[تعداد تماشا ]]</f>
        <v>90</v>
      </c>
    </row>
    <row r="53" spans="1:12" ht="36" x14ac:dyDescent="0.25">
      <c r="A53" s="13">
        <v>178</v>
      </c>
      <c r="B53" s="13">
        <v>5238</v>
      </c>
      <c r="C53" s="13">
        <v>72</v>
      </c>
      <c r="D53" s="13" t="s">
        <v>325</v>
      </c>
      <c r="E53" s="13" t="s">
        <v>326</v>
      </c>
      <c r="F53" s="13" t="s">
        <v>5</v>
      </c>
      <c r="G53" s="13" t="s">
        <v>16</v>
      </c>
      <c r="H53" s="11">
        <v>39</v>
      </c>
      <c r="I53" s="11">
        <v>419</v>
      </c>
      <c r="J53" s="11">
        <v>45</v>
      </c>
      <c r="K53" s="11">
        <v>275000</v>
      </c>
      <c r="L53" s="10">
        <f>Table1[[#This Row],[تعداد دانلود]]+Table1[[#This Row],[تعداد تماشا ]]</f>
        <v>84</v>
      </c>
    </row>
    <row r="54" spans="1:12" ht="36" x14ac:dyDescent="0.25">
      <c r="A54" s="12">
        <v>47</v>
      </c>
      <c r="B54" s="12">
        <v>1152</v>
      </c>
      <c r="C54" s="12"/>
      <c r="D54" s="13" t="s">
        <v>104</v>
      </c>
      <c r="E54" s="14" t="s">
        <v>105</v>
      </c>
      <c r="F54" s="13" t="s">
        <v>9</v>
      </c>
      <c r="G54" s="13" t="s">
        <v>16</v>
      </c>
      <c r="H54" s="10">
        <v>38</v>
      </c>
      <c r="I54" s="10">
        <v>559</v>
      </c>
      <c r="J54" s="10">
        <v>45</v>
      </c>
      <c r="K54" s="10">
        <f>526000+12000+68000+52000</f>
        <v>658000</v>
      </c>
      <c r="L54" s="10">
        <f>Table1[[#This Row],[تعداد دانلود]]+Table1[[#This Row],[تعداد تماشا ]]</f>
        <v>83</v>
      </c>
    </row>
    <row r="55" spans="1:12" ht="36" x14ac:dyDescent="0.25">
      <c r="A55" s="12">
        <v>145</v>
      </c>
      <c r="B55" s="12">
        <v>321</v>
      </c>
      <c r="C55" s="12"/>
      <c r="D55" s="13" t="s">
        <v>268</v>
      </c>
      <c r="E55" s="14" t="s">
        <v>267</v>
      </c>
      <c r="F55" s="13" t="s">
        <v>5</v>
      </c>
      <c r="G55" s="13" t="s">
        <v>16</v>
      </c>
      <c r="H55" s="10">
        <v>15</v>
      </c>
      <c r="I55" s="10">
        <v>50</v>
      </c>
      <c r="J55" s="10">
        <v>64</v>
      </c>
      <c r="K55" s="10">
        <f>114000+38000+42000</f>
        <v>194000</v>
      </c>
      <c r="L55" s="10">
        <f>Table1[[#This Row],[تعداد دانلود]]+Table1[[#This Row],[تعداد تماشا ]]</f>
        <v>79</v>
      </c>
    </row>
    <row r="56" spans="1:12" ht="36" x14ac:dyDescent="0.25">
      <c r="A56" s="12">
        <v>29</v>
      </c>
      <c r="B56" s="12">
        <v>3924</v>
      </c>
      <c r="C56" s="12"/>
      <c r="D56" s="13" t="s">
        <v>68</v>
      </c>
      <c r="E56" s="14" t="s">
        <v>69</v>
      </c>
      <c r="F56" s="13" t="s">
        <v>9</v>
      </c>
      <c r="G56" s="13" t="s">
        <v>16</v>
      </c>
      <c r="H56" s="10">
        <v>66</v>
      </c>
      <c r="I56" s="10">
        <v>525</v>
      </c>
      <c r="J56" s="10">
        <v>13</v>
      </c>
      <c r="K56" s="10">
        <f>109500+6000+18000+9000</f>
        <v>142500</v>
      </c>
      <c r="L56" s="10">
        <f>Table1[[#This Row],[تعداد دانلود]]+Table1[[#This Row],[تعداد تماشا ]]</f>
        <v>79</v>
      </c>
    </row>
    <row r="57" spans="1:12" ht="36" x14ac:dyDescent="0.25">
      <c r="A57" s="12">
        <v>15</v>
      </c>
      <c r="B57" s="12">
        <v>3353</v>
      </c>
      <c r="C57" s="12"/>
      <c r="D57" s="13" t="s">
        <v>41</v>
      </c>
      <c r="E57" s="14" t="s">
        <v>42</v>
      </c>
      <c r="F57" s="13" t="s">
        <v>9</v>
      </c>
      <c r="G57" s="13" t="s">
        <v>16</v>
      </c>
      <c r="H57" s="10">
        <v>46</v>
      </c>
      <c r="I57" s="10">
        <v>485</v>
      </c>
      <c r="J57" s="10">
        <v>32</v>
      </c>
      <c r="K57" s="10">
        <f>12000+42000+21000+316500</f>
        <v>391500</v>
      </c>
      <c r="L57" s="10">
        <f>Table1[[#This Row],[تعداد دانلود]]+Table1[[#This Row],[تعداد تماشا ]]</f>
        <v>78</v>
      </c>
    </row>
    <row r="58" spans="1:12" ht="36" x14ac:dyDescent="0.25">
      <c r="A58" s="12">
        <v>143</v>
      </c>
      <c r="B58" s="12">
        <v>1120</v>
      </c>
      <c r="C58" s="12"/>
      <c r="D58" s="13" t="s">
        <v>263</v>
      </c>
      <c r="E58" s="14" t="s">
        <v>264</v>
      </c>
      <c r="F58" s="13" t="s">
        <v>5</v>
      </c>
      <c r="G58" s="13" t="s">
        <v>16</v>
      </c>
      <c r="H58" s="10">
        <v>26</v>
      </c>
      <c r="I58" s="10">
        <v>282</v>
      </c>
      <c r="J58" s="10">
        <v>46</v>
      </c>
      <c r="K58" s="10">
        <f>436000+8000+59000+20000</f>
        <v>523000</v>
      </c>
      <c r="L58" s="10">
        <f>Table1[[#This Row],[تعداد دانلود]]+Table1[[#This Row],[تعداد تماشا ]]</f>
        <v>72</v>
      </c>
    </row>
    <row r="59" spans="1:12" ht="36" x14ac:dyDescent="0.25">
      <c r="A59" s="12">
        <v>64</v>
      </c>
      <c r="B59" s="12">
        <v>1815</v>
      </c>
      <c r="C59" s="12"/>
      <c r="D59" s="13" t="s">
        <v>138</v>
      </c>
      <c r="E59" s="14" t="s">
        <v>139</v>
      </c>
      <c r="F59" s="13" t="s">
        <v>9</v>
      </c>
      <c r="G59" s="13" t="s">
        <v>16</v>
      </c>
      <c r="H59" s="10">
        <v>52</v>
      </c>
      <c r="I59" s="10">
        <v>399</v>
      </c>
      <c r="J59" s="10">
        <v>20</v>
      </c>
      <c r="K59" s="10">
        <f>20000+35000+30000+380000</f>
        <v>465000</v>
      </c>
      <c r="L59" s="10">
        <f>Table1[[#This Row],[تعداد دانلود]]+Table1[[#This Row],[تعداد تماشا ]]</f>
        <v>72</v>
      </c>
    </row>
    <row r="60" spans="1:12" ht="36" x14ac:dyDescent="0.25">
      <c r="A60" s="13">
        <v>174</v>
      </c>
      <c r="B60" s="13">
        <v>9464</v>
      </c>
      <c r="C60" s="13">
        <v>1033</v>
      </c>
      <c r="D60" s="13" t="s">
        <v>310</v>
      </c>
      <c r="E60" s="13" t="s">
        <v>314</v>
      </c>
      <c r="F60" s="13" t="s">
        <v>9</v>
      </c>
      <c r="G60" s="13" t="s">
        <v>16</v>
      </c>
      <c r="H60" s="11">
        <v>55</v>
      </c>
      <c r="I60" s="11">
        <v>1269</v>
      </c>
      <c r="J60" s="11">
        <v>16</v>
      </c>
      <c r="K60" s="11">
        <v>223000</v>
      </c>
      <c r="L60" s="10">
        <f>Table1[[#This Row],[تعداد دانلود]]+Table1[[#This Row],[تعداد تماشا ]]</f>
        <v>71</v>
      </c>
    </row>
    <row r="61" spans="1:12" ht="36" x14ac:dyDescent="0.25">
      <c r="A61" s="13">
        <v>205</v>
      </c>
      <c r="B61" s="13">
        <v>9086</v>
      </c>
      <c r="C61" s="13">
        <v>609</v>
      </c>
      <c r="D61" s="13" t="s">
        <v>366</v>
      </c>
      <c r="E61" s="13" t="s">
        <v>367</v>
      </c>
      <c r="F61" s="13" t="s">
        <v>5</v>
      </c>
      <c r="G61" s="13" t="s">
        <v>16</v>
      </c>
      <c r="H61" s="11">
        <v>39</v>
      </c>
      <c r="I61" s="11">
        <v>610</v>
      </c>
      <c r="J61" s="11">
        <v>31</v>
      </c>
      <c r="K61" s="11">
        <v>254000</v>
      </c>
      <c r="L61" s="10">
        <f>Table1[[#This Row],[تعداد دانلود]]+Table1[[#This Row],[تعداد تماشا ]]</f>
        <v>70</v>
      </c>
    </row>
    <row r="62" spans="1:12" ht="36" x14ac:dyDescent="0.25">
      <c r="A62" s="12">
        <v>72</v>
      </c>
      <c r="B62" s="12">
        <v>774</v>
      </c>
      <c r="C62" s="12"/>
      <c r="D62" s="13" t="s">
        <v>154</v>
      </c>
      <c r="E62" s="14" t="s">
        <v>155</v>
      </c>
      <c r="F62" s="13" t="s">
        <v>5</v>
      </c>
      <c r="G62" s="13" t="s">
        <v>16</v>
      </c>
      <c r="H62" s="10">
        <v>34</v>
      </c>
      <c r="I62" s="10">
        <v>62</v>
      </c>
      <c r="J62" s="10">
        <v>34</v>
      </c>
      <c r="K62" s="10">
        <f>52200+14500+371200</f>
        <v>437900</v>
      </c>
      <c r="L62" s="10">
        <f>Table1[[#This Row],[تعداد دانلود]]+Table1[[#This Row],[تعداد تماشا ]]</f>
        <v>68</v>
      </c>
    </row>
    <row r="63" spans="1:12" x14ac:dyDescent="0.25">
      <c r="A63" s="12">
        <v>37</v>
      </c>
      <c r="B63" s="12">
        <v>6388</v>
      </c>
      <c r="C63" s="12"/>
      <c r="D63" s="13" t="s">
        <v>84</v>
      </c>
      <c r="E63" s="14" t="s">
        <v>85</v>
      </c>
      <c r="F63" s="13" t="s">
        <v>9</v>
      </c>
      <c r="G63" s="13" t="s">
        <v>11</v>
      </c>
      <c r="H63" s="10">
        <v>53</v>
      </c>
      <c r="I63" s="10">
        <v>840</v>
      </c>
      <c r="J63" s="10">
        <v>15</v>
      </c>
      <c r="K63" s="10">
        <f>34500+12000+24000+6000</f>
        <v>76500</v>
      </c>
      <c r="L63" s="10">
        <f>Table1[[#This Row],[تعداد دانلود]]+Table1[[#This Row],[تعداد تماشا ]]</f>
        <v>68</v>
      </c>
    </row>
    <row r="64" spans="1:12" ht="36" x14ac:dyDescent="0.25">
      <c r="A64" s="12">
        <v>16</v>
      </c>
      <c r="B64" s="12">
        <v>3681</v>
      </c>
      <c r="C64" s="12"/>
      <c r="D64" s="13" t="s">
        <v>43</v>
      </c>
      <c r="E64" s="14" t="s">
        <v>44</v>
      </c>
      <c r="F64" s="13" t="s">
        <v>9</v>
      </c>
      <c r="G64" s="13" t="s">
        <v>16</v>
      </c>
      <c r="H64" s="10">
        <v>29</v>
      </c>
      <c r="I64" s="10">
        <v>35</v>
      </c>
      <c r="J64" s="10">
        <v>37</v>
      </c>
      <c r="K64" s="10">
        <f>93000+27000+18000</f>
        <v>138000</v>
      </c>
      <c r="L64" s="10">
        <f>Table1[[#This Row],[تعداد دانلود]]+Table1[[#This Row],[تعداد تماشا ]]</f>
        <v>66</v>
      </c>
    </row>
    <row r="65" spans="1:12" ht="36" x14ac:dyDescent="0.25">
      <c r="A65" s="12">
        <v>113</v>
      </c>
      <c r="B65" s="12">
        <v>4097</v>
      </c>
      <c r="C65" s="12"/>
      <c r="D65" s="13" t="s">
        <v>204</v>
      </c>
      <c r="E65" s="14" t="s">
        <v>205</v>
      </c>
      <c r="F65" s="13" t="s">
        <v>5</v>
      </c>
      <c r="G65" s="13" t="s">
        <v>16</v>
      </c>
      <c r="H65" s="10">
        <v>44</v>
      </c>
      <c r="I65" s="10">
        <v>82</v>
      </c>
      <c r="J65" s="10">
        <v>22</v>
      </c>
      <c r="K65" s="10">
        <v>0</v>
      </c>
      <c r="L65" s="10">
        <f>Table1[[#This Row],[تعداد دانلود]]+Table1[[#This Row],[تعداد تماشا ]]</f>
        <v>66</v>
      </c>
    </row>
    <row r="66" spans="1:12" ht="36" x14ac:dyDescent="0.25">
      <c r="A66" s="13">
        <v>162</v>
      </c>
      <c r="B66" s="13">
        <v>5226</v>
      </c>
      <c r="C66" s="13">
        <v>110</v>
      </c>
      <c r="D66" s="13" t="s">
        <v>293</v>
      </c>
      <c r="E66" s="13" t="s">
        <v>294</v>
      </c>
      <c r="F66" s="13" t="s">
        <v>9</v>
      </c>
      <c r="G66" s="13" t="s">
        <v>16</v>
      </c>
      <c r="H66" s="11">
        <v>44</v>
      </c>
      <c r="I66" s="11">
        <v>657</v>
      </c>
      <c r="J66" s="11">
        <v>19</v>
      </c>
      <c r="K66" s="11">
        <v>182000</v>
      </c>
      <c r="L66" s="10">
        <f>Table1[[#This Row],[تعداد دانلود]]+Table1[[#This Row],[تعداد تماشا ]]</f>
        <v>63</v>
      </c>
    </row>
    <row r="67" spans="1:12" ht="36" x14ac:dyDescent="0.25">
      <c r="A67" s="12">
        <v>142</v>
      </c>
      <c r="B67" s="12">
        <v>1137</v>
      </c>
      <c r="C67" s="12"/>
      <c r="D67" s="13" t="s">
        <v>261</v>
      </c>
      <c r="E67" s="14" t="s">
        <v>262</v>
      </c>
      <c r="F67" s="13" t="s">
        <v>5</v>
      </c>
      <c r="G67" s="13" t="s">
        <v>16</v>
      </c>
      <c r="H67" s="10">
        <v>44</v>
      </c>
      <c r="I67" s="10">
        <v>208</v>
      </c>
      <c r="J67" s="10">
        <v>18</v>
      </c>
      <c r="K67" s="10">
        <f>52000+284000</f>
        <v>336000</v>
      </c>
      <c r="L67" s="10">
        <f>Table1[[#This Row],[تعداد دانلود]]+Table1[[#This Row],[تعداد تماشا ]]</f>
        <v>62</v>
      </c>
    </row>
    <row r="68" spans="1:12" ht="36" x14ac:dyDescent="0.25">
      <c r="A68" s="13">
        <v>173</v>
      </c>
      <c r="B68" s="13">
        <v>9311</v>
      </c>
      <c r="C68" s="13">
        <v>1031</v>
      </c>
      <c r="D68" s="13" t="s">
        <v>309</v>
      </c>
      <c r="E68" s="13" t="s">
        <v>313</v>
      </c>
      <c r="F68" s="13" t="s">
        <v>9</v>
      </c>
      <c r="G68" s="13" t="s">
        <v>16</v>
      </c>
      <c r="H68" s="11">
        <v>46</v>
      </c>
      <c r="I68" s="11">
        <v>1440</v>
      </c>
      <c r="J68" s="11">
        <v>15</v>
      </c>
      <c r="K68" s="11">
        <v>311000</v>
      </c>
      <c r="L68" s="10">
        <f>Table1[[#This Row],[تعداد دانلود]]+Table1[[#This Row],[تعداد تماشا ]]</f>
        <v>61</v>
      </c>
    </row>
    <row r="69" spans="1:12" ht="36" x14ac:dyDescent="0.25">
      <c r="A69" s="12">
        <v>68</v>
      </c>
      <c r="B69" s="12">
        <v>2185</v>
      </c>
      <c r="C69" s="12"/>
      <c r="D69" s="13" t="s">
        <v>146</v>
      </c>
      <c r="E69" s="14" t="s">
        <v>147</v>
      </c>
      <c r="F69" s="13" t="s">
        <v>9</v>
      </c>
      <c r="G69" s="13" t="s">
        <v>16</v>
      </c>
      <c r="H69" s="10">
        <v>50</v>
      </c>
      <c r="I69" s="10">
        <v>352</v>
      </c>
      <c r="J69" s="10">
        <v>10</v>
      </c>
      <c r="K69" s="10">
        <f>10500+21000+10500+157500</f>
        <v>199500</v>
      </c>
      <c r="L69" s="10">
        <f>Table1[[#This Row],[تعداد دانلود]]+Table1[[#This Row],[تعداد تماشا ]]</f>
        <v>60</v>
      </c>
    </row>
    <row r="70" spans="1:12" ht="36" x14ac:dyDescent="0.25">
      <c r="A70" s="13">
        <v>166</v>
      </c>
      <c r="B70" s="13">
        <v>5233</v>
      </c>
      <c r="C70" s="13">
        <v>67</v>
      </c>
      <c r="D70" s="13" t="s">
        <v>301</v>
      </c>
      <c r="E70" s="13" t="s">
        <v>302</v>
      </c>
      <c r="F70" s="13" t="s">
        <v>5</v>
      </c>
      <c r="G70" s="13" t="s">
        <v>16</v>
      </c>
      <c r="H70" s="11">
        <v>52</v>
      </c>
      <c r="I70" s="11">
        <v>992</v>
      </c>
      <c r="J70" s="11">
        <v>8</v>
      </c>
      <c r="K70" s="11">
        <v>99000</v>
      </c>
      <c r="L70" s="10">
        <f>Table1[[#This Row],[تعداد دانلود]]+Table1[[#This Row],[تعداد تماشا ]]</f>
        <v>60</v>
      </c>
    </row>
    <row r="71" spans="1:12" ht="36" x14ac:dyDescent="0.25">
      <c r="A71" s="12">
        <v>117</v>
      </c>
      <c r="B71" s="12">
        <v>3007</v>
      </c>
      <c r="C71" s="12"/>
      <c r="D71" s="13" t="s">
        <v>218</v>
      </c>
      <c r="E71" s="14" t="s">
        <v>219</v>
      </c>
      <c r="F71" s="13" t="s">
        <v>5</v>
      </c>
      <c r="G71" s="13" t="s">
        <v>16</v>
      </c>
      <c r="H71" s="10">
        <v>22</v>
      </c>
      <c r="I71" s="10">
        <v>57</v>
      </c>
      <c r="J71" s="10">
        <v>37</v>
      </c>
      <c r="K71" s="10">
        <f>309000+54000+21000</f>
        <v>384000</v>
      </c>
      <c r="L71" s="10">
        <f>Table1[[#This Row],[تعداد دانلود]]+Table1[[#This Row],[تعداد تماشا ]]</f>
        <v>59</v>
      </c>
    </row>
    <row r="72" spans="1:12" ht="36" x14ac:dyDescent="0.25">
      <c r="A72" s="12">
        <v>26</v>
      </c>
      <c r="B72" s="12">
        <v>3855</v>
      </c>
      <c r="C72" s="12"/>
      <c r="D72" s="13" t="s">
        <v>62</v>
      </c>
      <c r="E72" s="14" t="s">
        <v>63</v>
      </c>
      <c r="F72" s="13" t="s">
        <v>9</v>
      </c>
      <c r="G72" s="13" t="s">
        <v>16</v>
      </c>
      <c r="H72" s="10">
        <v>53</v>
      </c>
      <c r="I72" s="10">
        <v>444</v>
      </c>
      <c r="J72" s="10">
        <v>4</v>
      </c>
      <c r="K72" s="10">
        <f>16000+9000+64500</f>
        <v>89500</v>
      </c>
      <c r="L72" s="10">
        <f>Table1[[#This Row],[تعداد دانلود]]+Table1[[#This Row],[تعداد تماشا ]]</f>
        <v>57</v>
      </c>
    </row>
    <row r="73" spans="1:12" ht="21" customHeight="1" x14ac:dyDescent="0.25">
      <c r="A73" s="12">
        <v>70</v>
      </c>
      <c r="B73" s="12">
        <v>2059</v>
      </c>
      <c r="C73" s="12"/>
      <c r="D73" s="13" t="s">
        <v>150</v>
      </c>
      <c r="E73" s="14" t="s">
        <v>151</v>
      </c>
      <c r="F73" s="13" t="s">
        <v>9</v>
      </c>
      <c r="G73" s="13" t="s">
        <v>16</v>
      </c>
      <c r="H73" s="10">
        <v>32</v>
      </c>
      <c r="I73" s="10">
        <v>335</v>
      </c>
      <c r="J73" s="10">
        <v>23</v>
      </c>
      <c r="K73" s="10">
        <f>7000+21000+6000+184500</f>
        <v>218500</v>
      </c>
      <c r="L73" s="10">
        <f>Table1[[#This Row],[تعداد دانلود]]+Table1[[#This Row],[تعداد تماشا ]]</f>
        <v>55</v>
      </c>
    </row>
    <row r="74" spans="1:12" ht="36" x14ac:dyDescent="0.25">
      <c r="A74" s="12">
        <v>73</v>
      </c>
      <c r="B74" s="12">
        <v>7803</v>
      </c>
      <c r="C74" s="12"/>
      <c r="D74" s="13" t="s">
        <v>156</v>
      </c>
      <c r="E74" s="14" t="s">
        <v>189</v>
      </c>
      <c r="F74" s="13" t="s">
        <v>331</v>
      </c>
      <c r="G74" s="13" t="s">
        <v>16</v>
      </c>
      <c r="H74" s="10">
        <v>332</v>
      </c>
      <c r="I74" s="10">
        <v>1629</v>
      </c>
      <c r="J74" s="10">
        <v>186</v>
      </c>
      <c r="K74" s="10">
        <f>60000+288000+54000</f>
        <v>402000</v>
      </c>
      <c r="L74" s="10">
        <f>Table1[[#This Row],[تعداد دانلود]]+Table1[[#This Row],[تعداد تماشا ]]</f>
        <v>518</v>
      </c>
    </row>
    <row r="75" spans="1:12" ht="36" x14ac:dyDescent="0.25">
      <c r="A75" s="12">
        <v>74</v>
      </c>
      <c r="B75" s="12">
        <v>7804</v>
      </c>
      <c r="C75" s="12"/>
      <c r="D75" s="13" t="s">
        <v>157</v>
      </c>
      <c r="E75" s="14" t="s">
        <v>189</v>
      </c>
      <c r="F75" s="13" t="s">
        <v>331</v>
      </c>
      <c r="G75" s="13" t="s">
        <v>16</v>
      </c>
      <c r="H75" s="10">
        <v>47</v>
      </c>
      <c r="I75" s="10">
        <v>464</v>
      </c>
      <c r="J75" s="10">
        <v>117</v>
      </c>
      <c r="K75" s="10">
        <f>18000+204000+21000</f>
        <v>243000</v>
      </c>
      <c r="L75" s="10">
        <f>Table1[[#This Row],[تعداد دانلود]]+Table1[[#This Row],[تعداد تماشا ]]</f>
        <v>164</v>
      </c>
    </row>
    <row r="76" spans="1:12" ht="36" x14ac:dyDescent="0.25">
      <c r="A76" s="12">
        <v>75</v>
      </c>
      <c r="B76" s="12">
        <v>7805</v>
      </c>
      <c r="C76" s="12"/>
      <c r="D76" s="13" t="s">
        <v>158</v>
      </c>
      <c r="E76" s="14" t="s">
        <v>189</v>
      </c>
      <c r="F76" s="13" t="s">
        <v>331</v>
      </c>
      <c r="G76" s="13" t="s">
        <v>16</v>
      </c>
      <c r="H76" s="10">
        <v>35</v>
      </c>
      <c r="I76" s="10">
        <v>313</v>
      </c>
      <c r="J76" s="10">
        <v>74</v>
      </c>
      <c r="K76" s="10">
        <f>9000+156000+15000</f>
        <v>180000</v>
      </c>
      <c r="L76" s="10">
        <f>Table1[[#This Row],[تعداد دانلود]]+Table1[[#This Row],[تعداد تماشا ]]</f>
        <v>109</v>
      </c>
    </row>
    <row r="77" spans="1:12" ht="36" x14ac:dyDescent="0.25">
      <c r="A77" s="12">
        <v>76</v>
      </c>
      <c r="B77" s="12">
        <v>7806</v>
      </c>
      <c r="C77" s="12"/>
      <c r="D77" s="13" t="s">
        <v>159</v>
      </c>
      <c r="E77" s="14" t="s">
        <v>189</v>
      </c>
      <c r="F77" s="13" t="s">
        <v>331</v>
      </c>
      <c r="G77" s="13" t="s">
        <v>16</v>
      </c>
      <c r="H77" s="10">
        <v>21</v>
      </c>
      <c r="I77" s="10">
        <v>273</v>
      </c>
      <c r="J77" s="10">
        <v>73</v>
      </c>
      <c r="K77" s="10">
        <f>9000+144000+12000</f>
        <v>165000</v>
      </c>
      <c r="L77" s="10">
        <f>Table1[[#This Row],[تعداد دانلود]]+Table1[[#This Row],[تعداد تماشا ]]</f>
        <v>94</v>
      </c>
    </row>
    <row r="78" spans="1:12" ht="36" x14ac:dyDescent="0.25">
      <c r="A78" s="12">
        <v>77</v>
      </c>
      <c r="B78" s="12">
        <v>7807</v>
      </c>
      <c r="C78" s="12"/>
      <c r="D78" s="13" t="s">
        <v>160</v>
      </c>
      <c r="E78" s="14" t="s">
        <v>189</v>
      </c>
      <c r="F78" s="13" t="s">
        <v>331</v>
      </c>
      <c r="G78" s="13" t="s">
        <v>16</v>
      </c>
      <c r="H78" s="10">
        <v>17</v>
      </c>
      <c r="I78" s="10">
        <v>128</v>
      </c>
      <c r="J78" s="10">
        <v>60</v>
      </c>
      <c r="K78" s="10">
        <f>6000+123000+6000</f>
        <v>135000</v>
      </c>
      <c r="L78" s="10">
        <f>Table1[[#This Row],[تعداد دانلود]]+Table1[[#This Row],[تعداد تماشا ]]</f>
        <v>77</v>
      </c>
    </row>
    <row r="79" spans="1:12" ht="36" x14ac:dyDescent="0.25">
      <c r="A79" s="12">
        <v>78</v>
      </c>
      <c r="B79" s="12">
        <v>7808</v>
      </c>
      <c r="C79" s="12"/>
      <c r="D79" s="13" t="s">
        <v>161</v>
      </c>
      <c r="E79" s="14" t="s">
        <v>189</v>
      </c>
      <c r="F79" s="13" t="s">
        <v>331</v>
      </c>
      <c r="G79" s="13" t="s">
        <v>16</v>
      </c>
      <c r="H79" s="10">
        <v>17</v>
      </c>
      <c r="I79" s="10">
        <v>99</v>
      </c>
      <c r="J79" s="10">
        <v>62</v>
      </c>
      <c r="K79" s="10">
        <f>6000+130000+6000</f>
        <v>142000</v>
      </c>
      <c r="L79" s="10">
        <f>Table1[[#This Row],[تعداد دانلود]]+Table1[[#This Row],[تعداد تماشا ]]</f>
        <v>79</v>
      </c>
    </row>
    <row r="80" spans="1:12" ht="36" x14ac:dyDescent="0.25">
      <c r="A80" s="12">
        <v>79</v>
      </c>
      <c r="B80" s="12">
        <v>7809</v>
      </c>
      <c r="C80" s="12"/>
      <c r="D80" s="13" t="s">
        <v>162</v>
      </c>
      <c r="E80" s="14" t="s">
        <v>189</v>
      </c>
      <c r="F80" s="13" t="s">
        <v>331</v>
      </c>
      <c r="G80" s="13" t="s">
        <v>16</v>
      </c>
      <c r="H80" s="10">
        <v>12</v>
      </c>
      <c r="I80" s="10">
        <v>67</v>
      </c>
      <c r="J80" s="10">
        <v>55</v>
      </c>
      <c r="K80" s="10">
        <f>3000+117000+6000</f>
        <v>126000</v>
      </c>
      <c r="L80" s="10">
        <f>Table1[[#This Row],[تعداد دانلود]]+Table1[[#This Row],[تعداد تماشا ]]</f>
        <v>67</v>
      </c>
    </row>
    <row r="81" spans="1:12" ht="36" x14ac:dyDescent="0.25">
      <c r="A81" s="12">
        <v>80</v>
      </c>
      <c r="B81" s="12">
        <v>7810</v>
      </c>
      <c r="C81" s="12"/>
      <c r="D81" s="13" t="s">
        <v>163</v>
      </c>
      <c r="E81" s="14" t="s">
        <v>189</v>
      </c>
      <c r="F81" s="13" t="s">
        <v>331</v>
      </c>
      <c r="G81" s="13" t="s">
        <v>16</v>
      </c>
      <c r="H81" s="10">
        <v>5</v>
      </c>
      <c r="I81" s="10">
        <v>0</v>
      </c>
      <c r="J81" s="10">
        <v>34</v>
      </c>
      <c r="K81" s="10">
        <f>66000+3000</f>
        <v>69000</v>
      </c>
      <c r="L81" s="10">
        <f>Table1[[#This Row],[تعداد دانلود]]+Table1[[#This Row],[تعداد تماشا ]]</f>
        <v>39</v>
      </c>
    </row>
    <row r="82" spans="1:12" ht="36" x14ac:dyDescent="0.25">
      <c r="A82" s="12">
        <v>81</v>
      </c>
      <c r="B82" s="12">
        <v>7811</v>
      </c>
      <c r="C82" s="12"/>
      <c r="D82" s="13" t="s">
        <v>164</v>
      </c>
      <c r="E82" s="14" t="s">
        <v>189</v>
      </c>
      <c r="F82" s="13" t="s">
        <v>331</v>
      </c>
      <c r="G82" s="13" t="s">
        <v>16</v>
      </c>
      <c r="H82" s="10">
        <v>6</v>
      </c>
      <c r="I82" s="10">
        <v>4</v>
      </c>
      <c r="J82" s="10">
        <v>28</v>
      </c>
      <c r="K82" s="10">
        <f>60000+3000</f>
        <v>63000</v>
      </c>
      <c r="L82" s="10">
        <f>Table1[[#This Row],[تعداد دانلود]]+Table1[[#This Row],[تعداد تماشا ]]</f>
        <v>34</v>
      </c>
    </row>
    <row r="83" spans="1:12" ht="36" x14ac:dyDescent="0.25">
      <c r="A83" s="12">
        <v>82</v>
      </c>
      <c r="B83" s="12">
        <v>7812</v>
      </c>
      <c r="C83" s="12"/>
      <c r="D83" s="13" t="s">
        <v>165</v>
      </c>
      <c r="E83" s="14" t="s">
        <v>189</v>
      </c>
      <c r="F83" s="13" t="s">
        <v>331</v>
      </c>
      <c r="G83" s="13" t="s">
        <v>16</v>
      </c>
      <c r="H83" s="10">
        <v>17</v>
      </c>
      <c r="I83" s="10">
        <v>26</v>
      </c>
      <c r="J83" s="10">
        <v>30</v>
      </c>
      <c r="K83" s="10">
        <f>66000+3000</f>
        <v>69000</v>
      </c>
      <c r="L83" s="10">
        <f>Table1[[#This Row],[تعداد دانلود]]+Table1[[#This Row],[تعداد تماشا ]]</f>
        <v>47</v>
      </c>
    </row>
    <row r="84" spans="1:12" x14ac:dyDescent="0.25">
      <c r="A84" s="12">
        <v>120</v>
      </c>
      <c r="B84" s="12">
        <v>3103</v>
      </c>
      <c r="C84" s="12"/>
      <c r="D84" s="13" t="s">
        <v>224</v>
      </c>
      <c r="E84" s="14" t="s">
        <v>225</v>
      </c>
      <c r="F84" s="13" t="s">
        <v>5</v>
      </c>
      <c r="G84" s="13" t="s">
        <v>11</v>
      </c>
      <c r="H84" s="10">
        <v>29</v>
      </c>
      <c r="I84" s="10">
        <v>164</v>
      </c>
      <c r="J84" s="10">
        <v>24</v>
      </c>
      <c r="K84" s="10">
        <f>6000+15000+12000+43500</f>
        <v>76500</v>
      </c>
      <c r="L84" s="10">
        <f>Table1[[#This Row],[تعداد دانلود]]+Table1[[#This Row],[تعداد تماشا ]]</f>
        <v>53</v>
      </c>
    </row>
    <row r="85" spans="1:12" ht="36" x14ac:dyDescent="0.25">
      <c r="A85" s="12">
        <v>114</v>
      </c>
      <c r="B85" s="12">
        <v>3940</v>
      </c>
      <c r="C85" s="12"/>
      <c r="D85" s="13" t="s">
        <v>212</v>
      </c>
      <c r="E85" s="14" t="s">
        <v>213</v>
      </c>
      <c r="F85" s="13" t="s">
        <v>5</v>
      </c>
      <c r="G85" s="13" t="s">
        <v>16</v>
      </c>
      <c r="H85" s="10">
        <v>20</v>
      </c>
      <c r="I85" s="10">
        <v>207</v>
      </c>
      <c r="J85" s="10">
        <v>32</v>
      </c>
      <c r="K85" s="10">
        <v>60000</v>
      </c>
      <c r="L85" s="10">
        <f>Table1[[#This Row],[تعداد دانلود]]+Table1[[#This Row],[تعداد تماشا ]]</f>
        <v>52</v>
      </c>
    </row>
    <row r="86" spans="1:12" ht="36" x14ac:dyDescent="0.25">
      <c r="A86" s="12">
        <v>85</v>
      </c>
      <c r="B86" s="12">
        <v>7230</v>
      </c>
      <c r="C86" s="12"/>
      <c r="D86" s="13" t="s">
        <v>170</v>
      </c>
      <c r="E86" s="14" t="s">
        <v>190</v>
      </c>
      <c r="F86" s="13" t="s">
        <v>331</v>
      </c>
      <c r="G86" s="13" t="s">
        <v>16</v>
      </c>
      <c r="H86" s="10">
        <v>193</v>
      </c>
      <c r="I86" s="10">
        <v>1018</v>
      </c>
      <c r="J86" s="10">
        <v>83</v>
      </c>
      <c r="K86" s="10">
        <f>48000+96000+14000</f>
        <v>158000</v>
      </c>
      <c r="L86" s="10">
        <f>Table1[[#This Row],[تعداد دانلود]]+Table1[[#This Row],[تعداد تماشا ]]</f>
        <v>276</v>
      </c>
    </row>
    <row r="87" spans="1:12" ht="36" x14ac:dyDescent="0.25">
      <c r="A87" s="12">
        <v>86</v>
      </c>
      <c r="B87" s="12">
        <v>7232</v>
      </c>
      <c r="C87" s="12"/>
      <c r="D87" s="13" t="s">
        <v>171</v>
      </c>
      <c r="E87" s="14" t="s">
        <v>190</v>
      </c>
      <c r="F87" s="13" t="s">
        <v>331</v>
      </c>
      <c r="G87" s="13" t="s">
        <v>16</v>
      </c>
      <c r="H87" s="10">
        <v>66</v>
      </c>
      <c r="I87" s="10">
        <v>549</v>
      </c>
      <c r="J87" s="10">
        <v>57</v>
      </c>
      <c r="K87" s="10">
        <f>34000+70000+8000</f>
        <v>112000</v>
      </c>
      <c r="L87" s="10">
        <f>Table1[[#This Row],[تعداد دانلود]]+Table1[[#This Row],[تعداد تماشا ]]</f>
        <v>123</v>
      </c>
    </row>
    <row r="88" spans="1:12" ht="36" x14ac:dyDescent="0.25">
      <c r="A88" s="12">
        <v>87</v>
      </c>
      <c r="B88" s="12">
        <v>7233</v>
      </c>
      <c r="C88" s="12"/>
      <c r="D88" s="13" t="s">
        <v>172</v>
      </c>
      <c r="E88" s="14" t="s">
        <v>190</v>
      </c>
      <c r="F88" s="13" t="s">
        <v>331</v>
      </c>
      <c r="G88" s="13" t="s">
        <v>16</v>
      </c>
      <c r="H88" s="10">
        <v>48</v>
      </c>
      <c r="I88" s="10">
        <v>363</v>
      </c>
      <c r="J88" s="10">
        <v>55</v>
      </c>
      <c r="K88" s="10">
        <f>14000+58000+10000</f>
        <v>82000</v>
      </c>
      <c r="L88" s="10">
        <f>Table1[[#This Row],[تعداد دانلود]]+Table1[[#This Row],[تعداد تماشا ]]</f>
        <v>103</v>
      </c>
    </row>
    <row r="89" spans="1:12" ht="36" x14ac:dyDescent="0.25">
      <c r="A89" s="12">
        <v>88</v>
      </c>
      <c r="B89" s="12">
        <v>7234</v>
      </c>
      <c r="C89" s="12"/>
      <c r="D89" s="13" t="s">
        <v>173</v>
      </c>
      <c r="E89" s="14" t="s">
        <v>190</v>
      </c>
      <c r="F89" s="13" t="s">
        <v>331</v>
      </c>
      <c r="G89" s="13" t="s">
        <v>16</v>
      </c>
      <c r="H89" s="10">
        <v>25</v>
      </c>
      <c r="I89" s="10">
        <v>295</v>
      </c>
      <c r="J89" s="10">
        <v>47</v>
      </c>
      <c r="K89" s="10">
        <f>16000+54000+8000</f>
        <v>78000</v>
      </c>
      <c r="L89" s="10">
        <f>Table1[[#This Row],[تعداد دانلود]]+Table1[[#This Row],[تعداد تماشا ]]</f>
        <v>72</v>
      </c>
    </row>
    <row r="90" spans="1:12" x14ac:dyDescent="0.25">
      <c r="A90" s="12">
        <v>89</v>
      </c>
      <c r="B90" s="12">
        <v>6582</v>
      </c>
      <c r="C90" s="12"/>
      <c r="D90" s="13" t="s">
        <v>174</v>
      </c>
      <c r="E90" s="14" t="s">
        <v>191</v>
      </c>
      <c r="F90" s="13" t="s">
        <v>331</v>
      </c>
      <c r="G90" s="13" t="s">
        <v>11</v>
      </c>
      <c r="H90" s="10">
        <v>71</v>
      </c>
      <c r="I90" s="10">
        <v>660</v>
      </c>
      <c r="J90" s="10">
        <v>34</v>
      </c>
      <c r="K90" s="10">
        <f>3000+8000</f>
        <v>11000</v>
      </c>
      <c r="L90" s="10">
        <f>Table1[[#This Row],[تعداد دانلود]]+Table1[[#This Row],[تعداد تماشا ]]</f>
        <v>105</v>
      </c>
    </row>
    <row r="91" spans="1:12" x14ac:dyDescent="0.25">
      <c r="A91" s="12">
        <v>90</v>
      </c>
      <c r="B91" s="12">
        <v>6586</v>
      </c>
      <c r="C91" s="12"/>
      <c r="D91" s="13" t="s">
        <v>175</v>
      </c>
      <c r="E91" s="14" t="s">
        <v>191</v>
      </c>
      <c r="F91" s="13" t="s">
        <v>331</v>
      </c>
      <c r="G91" s="13" t="s">
        <v>11</v>
      </c>
      <c r="H91" s="10">
        <v>13</v>
      </c>
      <c r="I91" s="10">
        <v>217</v>
      </c>
      <c r="J91" s="10">
        <v>10</v>
      </c>
      <c r="K91" s="10">
        <f>8000+3000</f>
        <v>11000</v>
      </c>
      <c r="L91" s="10">
        <f>Table1[[#This Row],[تعداد دانلود]]+Table1[[#This Row],[تعداد تماشا ]]</f>
        <v>23</v>
      </c>
    </row>
    <row r="92" spans="1:12" x14ac:dyDescent="0.25">
      <c r="A92" s="12">
        <v>91</v>
      </c>
      <c r="B92" s="12">
        <v>6584</v>
      </c>
      <c r="C92" s="12"/>
      <c r="D92" s="13" t="s">
        <v>176</v>
      </c>
      <c r="E92" s="14" t="s">
        <v>191</v>
      </c>
      <c r="F92" s="13" t="s">
        <v>331</v>
      </c>
      <c r="G92" s="13" t="s">
        <v>11</v>
      </c>
      <c r="H92" s="10">
        <v>6</v>
      </c>
      <c r="I92" s="10">
        <v>110</v>
      </c>
      <c r="J92" s="10">
        <v>10</v>
      </c>
      <c r="K92" s="10">
        <f>3000</f>
        <v>3000</v>
      </c>
      <c r="L92" s="10">
        <f>Table1[[#This Row],[تعداد دانلود]]+Table1[[#This Row],[تعداد تماشا ]]</f>
        <v>16</v>
      </c>
    </row>
    <row r="93" spans="1:12" x14ac:dyDescent="0.25">
      <c r="A93" s="12">
        <v>92</v>
      </c>
      <c r="B93" s="12">
        <v>6585</v>
      </c>
      <c r="C93" s="12"/>
      <c r="D93" s="13" t="s">
        <v>177</v>
      </c>
      <c r="E93" s="14" t="s">
        <v>191</v>
      </c>
      <c r="F93" s="13" t="s">
        <v>331</v>
      </c>
      <c r="G93" s="13" t="s">
        <v>11</v>
      </c>
      <c r="H93" s="10">
        <v>2</v>
      </c>
      <c r="I93" s="10">
        <v>105</v>
      </c>
      <c r="J93" s="10">
        <v>6</v>
      </c>
      <c r="K93" s="10">
        <v>3000</v>
      </c>
      <c r="L93" s="10">
        <f>Table1[[#This Row],[تعداد دانلود]]+Table1[[#This Row],[تعداد تماشا ]]</f>
        <v>8</v>
      </c>
    </row>
    <row r="94" spans="1:12" ht="36" x14ac:dyDescent="0.25">
      <c r="A94" s="12">
        <v>33</v>
      </c>
      <c r="B94" s="12">
        <v>4068</v>
      </c>
      <c r="C94" s="12"/>
      <c r="D94" s="13" t="s">
        <v>76</v>
      </c>
      <c r="E94" s="14" t="s">
        <v>77</v>
      </c>
      <c r="F94" s="13" t="s">
        <v>9</v>
      </c>
      <c r="G94" s="13" t="s">
        <v>16</v>
      </c>
      <c r="H94" s="10">
        <v>40</v>
      </c>
      <c r="I94" s="10">
        <v>32</v>
      </c>
      <c r="J94" s="10">
        <v>8</v>
      </c>
      <c r="K94" s="10">
        <f>44000+18000</f>
        <v>62000</v>
      </c>
      <c r="L94" s="10">
        <f>Table1[[#This Row],[تعداد دانلود]]+Table1[[#This Row],[تعداد تماشا ]]</f>
        <v>48</v>
      </c>
    </row>
    <row r="95" spans="1:12" x14ac:dyDescent="0.25">
      <c r="A95" s="12">
        <v>94</v>
      </c>
      <c r="B95" s="12">
        <v>6314</v>
      </c>
      <c r="C95" s="12"/>
      <c r="D95" s="13" t="s">
        <v>180</v>
      </c>
      <c r="E95" s="14" t="s">
        <v>192</v>
      </c>
      <c r="F95" s="13" t="s">
        <v>331</v>
      </c>
      <c r="G95" s="13" t="s">
        <v>11</v>
      </c>
      <c r="H95" s="10">
        <v>48</v>
      </c>
      <c r="I95" s="10">
        <v>274</v>
      </c>
      <c r="J95" s="10">
        <v>14</v>
      </c>
      <c r="K95" s="10">
        <f>13000+8000+14000+2000</f>
        <v>37000</v>
      </c>
      <c r="L95" s="10">
        <f>Table1[[#This Row],[تعداد دانلود]]+Table1[[#This Row],[تعداد تماشا ]]</f>
        <v>62</v>
      </c>
    </row>
    <row r="96" spans="1:12" ht="20.25" customHeight="1" x14ac:dyDescent="0.25">
      <c r="A96" s="12">
        <v>95</v>
      </c>
      <c r="B96" s="12">
        <v>6315</v>
      </c>
      <c r="C96" s="12"/>
      <c r="D96" s="13" t="s">
        <v>181</v>
      </c>
      <c r="E96" s="14" t="s">
        <v>192</v>
      </c>
      <c r="F96" s="13" t="s">
        <v>331</v>
      </c>
      <c r="G96" s="13" t="s">
        <v>11</v>
      </c>
      <c r="H96" s="10">
        <v>9</v>
      </c>
      <c r="I96" s="10">
        <v>36</v>
      </c>
      <c r="J96" s="10">
        <v>8</v>
      </c>
      <c r="K96" s="10">
        <f>8000+8000</f>
        <v>16000</v>
      </c>
      <c r="L96" s="10">
        <f>Table1[[#This Row],[تعداد دانلود]]+Table1[[#This Row],[تعداد تماشا ]]</f>
        <v>17</v>
      </c>
    </row>
    <row r="97" spans="1:12" x14ac:dyDescent="0.25">
      <c r="A97" s="12">
        <v>96</v>
      </c>
      <c r="B97" s="12">
        <v>6317</v>
      </c>
      <c r="C97" s="12"/>
      <c r="D97" s="13" t="s">
        <v>182</v>
      </c>
      <c r="E97" s="14" t="s">
        <v>192</v>
      </c>
      <c r="F97" s="13" t="s">
        <v>331</v>
      </c>
      <c r="G97" s="13" t="s">
        <v>11</v>
      </c>
      <c r="H97" s="10">
        <v>4</v>
      </c>
      <c r="I97" s="10">
        <v>34</v>
      </c>
      <c r="J97" s="10">
        <v>11</v>
      </c>
      <c r="K97" s="10">
        <f>8000+4000</f>
        <v>12000</v>
      </c>
      <c r="L97" s="10">
        <f>Table1[[#This Row],[تعداد دانلود]]+Table1[[#This Row],[تعداد تماشا ]]</f>
        <v>15</v>
      </c>
    </row>
    <row r="98" spans="1:12" x14ac:dyDescent="0.25">
      <c r="A98" s="12">
        <v>97</v>
      </c>
      <c r="B98" s="12">
        <v>6318</v>
      </c>
      <c r="C98" s="12"/>
      <c r="D98" s="13" t="s">
        <v>183</v>
      </c>
      <c r="E98" s="14" t="s">
        <v>192</v>
      </c>
      <c r="F98" s="13" t="s">
        <v>331</v>
      </c>
      <c r="G98" s="13" t="s">
        <v>11</v>
      </c>
      <c r="H98" s="10">
        <v>4</v>
      </c>
      <c r="I98" s="10">
        <v>1</v>
      </c>
      <c r="J98" s="10">
        <v>12</v>
      </c>
      <c r="K98" s="10">
        <v>12000</v>
      </c>
      <c r="L98" s="10">
        <f>Table1[[#This Row],[تعداد دانلود]]+Table1[[#This Row],[تعداد تماشا ]]</f>
        <v>16</v>
      </c>
    </row>
    <row r="99" spans="1:12" x14ac:dyDescent="0.25">
      <c r="A99" s="12">
        <v>98</v>
      </c>
      <c r="B99" s="12">
        <v>6310</v>
      </c>
      <c r="C99" s="12"/>
      <c r="D99" s="13" t="s">
        <v>184</v>
      </c>
      <c r="E99" s="14" t="s">
        <v>193</v>
      </c>
      <c r="F99" s="13" t="s">
        <v>331</v>
      </c>
      <c r="G99" s="13" t="s">
        <v>11</v>
      </c>
      <c r="H99" s="10">
        <v>85</v>
      </c>
      <c r="I99" s="10">
        <v>725</v>
      </c>
      <c r="J99" s="10">
        <v>18</v>
      </c>
      <c r="K99" s="10">
        <f>24000+18000+6000+6000</f>
        <v>54000</v>
      </c>
      <c r="L99" s="10">
        <f>Table1[[#This Row],[تعداد دانلود]]+Table1[[#This Row],[تعداد تماشا ]]</f>
        <v>103</v>
      </c>
    </row>
    <row r="100" spans="1:12" x14ac:dyDescent="0.25">
      <c r="A100" s="12">
        <v>99</v>
      </c>
      <c r="B100" s="12">
        <v>6311</v>
      </c>
      <c r="C100" s="12"/>
      <c r="D100" s="13" t="s">
        <v>185</v>
      </c>
      <c r="E100" s="14" t="s">
        <v>193</v>
      </c>
      <c r="F100" s="13" t="s">
        <v>331</v>
      </c>
      <c r="G100" s="13" t="s">
        <v>11</v>
      </c>
      <c r="H100" s="10">
        <v>21</v>
      </c>
      <c r="I100" s="10">
        <v>244</v>
      </c>
      <c r="J100" s="10">
        <v>5</v>
      </c>
      <c r="K100" s="10">
        <v>21000</v>
      </c>
      <c r="L100" s="10">
        <f>Table1[[#This Row],[تعداد دانلود]]+Table1[[#This Row],[تعداد تماشا ]]</f>
        <v>26</v>
      </c>
    </row>
    <row r="101" spans="1:12" x14ac:dyDescent="0.25">
      <c r="A101" s="12">
        <v>100</v>
      </c>
      <c r="B101" s="12">
        <v>6312</v>
      </c>
      <c r="C101" s="12"/>
      <c r="D101" s="13" t="s">
        <v>186</v>
      </c>
      <c r="E101" s="14" t="s">
        <v>193</v>
      </c>
      <c r="F101" s="13" t="s">
        <v>331</v>
      </c>
      <c r="G101" s="13" t="s">
        <v>11</v>
      </c>
      <c r="H101" s="10">
        <v>9</v>
      </c>
      <c r="I101" s="10">
        <v>242</v>
      </c>
      <c r="J101" s="10">
        <v>3</v>
      </c>
      <c r="K101" s="10">
        <v>16000</v>
      </c>
      <c r="L101" s="10">
        <f>Table1[[#This Row],[تعداد دانلود]]+Table1[[#This Row],[تعداد تماشا ]]</f>
        <v>12</v>
      </c>
    </row>
    <row r="102" spans="1:12" ht="36" x14ac:dyDescent="0.25">
      <c r="A102" s="12">
        <v>32</v>
      </c>
      <c r="B102" s="12">
        <v>4011</v>
      </c>
      <c r="C102" s="12"/>
      <c r="D102" s="13" t="s">
        <v>74</v>
      </c>
      <c r="E102" s="14" t="s">
        <v>75</v>
      </c>
      <c r="F102" s="13" t="s">
        <v>9</v>
      </c>
      <c r="G102" s="13" t="s">
        <v>16</v>
      </c>
      <c r="H102" s="10">
        <v>28</v>
      </c>
      <c r="I102" s="10">
        <v>244</v>
      </c>
      <c r="J102" s="10">
        <v>18</v>
      </c>
      <c r="K102" s="10">
        <f>8000+28000+20000+86000</f>
        <v>142000</v>
      </c>
      <c r="L102" s="10">
        <f>Table1[[#This Row],[تعداد دانلود]]+Table1[[#This Row],[تعداد تماشا ]]</f>
        <v>46</v>
      </c>
    </row>
    <row r="103" spans="1:12" ht="36" x14ac:dyDescent="0.25">
      <c r="A103" s="12">
        <v>19</v>
      </c>
      <c r="B103" s="12">
        <v>3775</v>
      </c>
      <c r="C103" s="12"/>
      <c r="D103" s="13" t="s">
        <v>49</v>
      </c>
      <c r="E103" s="14" t="s">
        <v>50</v>
      </c>
      <c r="F103" s="13" t="s">
        <v>9</v>
      </c>
      <c r="G103" s="13" t="s">
        <v>16</v>
      </c>
      <c r="H103" s="10">
        <v>26</v>
      </c>
      <c r="I103" s="10">
        <v>44</v>
      </c>
      <c r="J103" s="10">
        <v>20</v>
      </c>
      <c r="K103" s="10">
        <f>61500+30000+6000</f>
        <v>97500</v>
      </c>
      <c r="L103" s="10">
        <f>Table1[[#This Row],[تعداد دانلود]]+Table1[[#This Row],[تعداد تماشا ]]</f>
        <v>46</v>
      </c>
    </row>
    <row r="104" spans="1:12" x14ac:dyDescent="0.25">
      <c r="A104" s="12">
        <v>103</v>
      </c>
      <c r="B104" s="12">
        <v>6485</v>
      </c>
      <c r="C104" s="12"/>
      <c r="D104" s="13" t="s">
        <v>196</v>
      </c>
      <c r="E104" s="14" t="s">
        <v>197</v>
      </c>
      <c r="F104" s="13" t="s">
        <v>331</v>
      </c>
      <c r="G104" s="13" t="s">
        <v>11</v>
      </c>
      <c r="H104" s="10">
        <v>13</v>
      </c>
      <c r="I104" s="10">
        <v>87</v>
      </c>
      <c r="J104" s="10">
        <v>7</v>
      </c>
      <c r="K104" s="10">
        <f>8000</f>
        <v>8000</v>
      </c>
      <c r="L104" s="10">
        <f>Table1[[#This Row],[تعداد دانلود]]+Table1[[#This Row],[تعداد تماشا ]]</f>
        <v>20</v>
      </c>
    </row>
    <row r="105" spans="1:12" x14ac:dyDescent="0.25">
      <c r="A105" s="12">
        <v>104</v>
      </c>
      <c r="B105" s="12">
        <v>6486</v>
      </c>
      <c r="C105" s="12"/>
      <c r="D105" s="13" t="s">
        <v>198</v>
      </c>
      <c r="E105" s="14" t="s">
        <v>197</v>
      </c>
      <c r="F105" s="13" t="s">
        <v>331</v>
      </c>
      <c r="G105" s="13" t="s">
        <v>11</v>
      </c>
      <c r="H105" s="10">
        <v>4</v>
      </c>
      <c r="I105" s="10">
        <v>366</v>
      </c>
      <c r="J105" s="10">
        <v>4</v>
      </c>
      <c r="K105" s="10">
        <f>10000</f>
        <v>10000</v>
      </c>
      <c r="L105" s="10">
        <f>Table1[[#This Row],[تعداد دانلود]]+Table1[[#This Row],[تعداد تماشا ]]</f>
        <v>8</v>
      </c>
    </row>
    <row r="106" spans="1:12" ht="36" x14ac:dyDescent="0.25">
      <c r="A106" s="12">
        <v>84</v>
      </c>
      <c r="B106" s="12">
        <v>7241</v>
      </c>
      <c r="C106" s="12"/>
      <c r="D106" s="13" t="s">
        <v>168</v>
      </c>
      <c r="E106" s="14" t="s">
        <v>169</v>
      </c>
      <c r="F106" s="13" t="s">
        <v>5</v>
      </c>
      <c r="G106" s="13" t="s">
        <v>11</v>
      </c>
      <c r="H106" s="10">
        <v>29</v>
      </c>
      <c r="I106" s="10">
        <v>99</v>
      </c>
      <c r="J106" s="10">
        <v>17</v>
      </c>
      <c r="K106" s="10">
        <f>3000+30000+9000+33000</f>
        <v>75000</v>
      </c>
      <c r="L106" s="10">
        <f>Table1[[#This Row],[تعداد دانلود]]+Table1[[#This Row],[تعداد تماشا ]]</f>
        <v>46</v>
      </c>
    </row>
    <row r="107" spans="1:12" ht="36" x14ac:dyDescent="0.25">
      <c r="A107" s="12">
        <v>106</v>
      </c>
      <c r="B107" s="12">
        <v>4149</v>
      </c>
      <c r="C107" s="12"/>
      <c r="D107" s="13" t="s">
        <v>206</v>
      </c>
      <c r="E107" s="14" t="s">
        <v>201</v>
      </c>
      <c r="F107" s="13" t="s">
        <v>331</v>
      </c>
      <c r="G107" s="13" t="s">
        <v>16</v>
      </c>
      <c r="H107" s="10">
        <v>16</v>
      </c>
      <c r="I107" s="10">
        <v>194</v>
      </c>
      <c r="J107" s="10">
        <v>4</v>
      </c>
      <c r="K107" s="10">
        <f>5250+9000</f>
        <v>14250</v>
      </c>
      <c r="L107" s="10">
        <f>Table1[[#This Row],[تعداد دانلود]]+Table1[[#This Row],[تعداد تماشا ]]</f>
        <v>20</v>
      </c>
    </row>
    <row r="108" spans="1:12" ht="36" x14ac:dyDescent="0.25">
      <c r="A108" s="12">
        <v>107</v>
      </c>
      <c r="B108" s="12">
        <v>4150</v>
      </c>
      <c r="C108" s="12"/>
      <c r="D108" s="13" t="s">
        <v>207</v>
      </c>
      <c r="E108" s="14" t="s">
        <v>201</v>
      </c>
      <c r="F108" s="13" t="s">
        <v>331</v>
      </c>
      <c r="G108" s="13" t="s">
        <v>16</v>
      </c>
      <c r="H108" s="10">
        <v>4</v>
      </c>
      <c r="I108" s="10">
        <v>60</v>
      </c>
      <c r="J108" s="10">
        <v>4</v>
      </c>
      <c r="K108" s="10">
        <f>7500+5250</f>
        <v>12750</v>
      </c>
      <c r="L108" s="10">
        <f>Table1[[#This Row],[تعداد دانلود]]+Table1[[#This Row],[تعداد تماشا ]]</f>
        <v>8</v>
      </c>
    </row>
    <row r="109" spans="1:12" ht="36" x14ac:dyDescent="0.25">
      <c r="A109" s="12">
        <v>108</v>
      </c>
      <c r="B109" s="12">
        <v>4151</v>
      </c>
      <c r="C109" s="12"/>
      <c r="D109" s="13" t="s">
        <v>208</v>
      </c>
      <c r="E109" s="14" t="s">
        <v>201</v>
      </c>
      <c r="F109" s="13" t="s">
        <v>331</v>
      </c>
      <c r="G109" s="13" t="s">
        <v>16</v>
      </c>
      <c r="H109" s="10">
        <v>3</v>
      </c>
      <c r="I109" s="10">
        <v>90</v>
      </c>
      <c r="J109" s="10">
        <v>4</v>
      </c>
      <c r="K109" s="10">
        <f>4500+7500</f>
        <v>12000</v>
      </c>
      <c r="L109" s="10">
        <f>Table1[[#This Row],[تعداد دانلود]]+Table1[[#This Row],[تعداد تماشا ]]</f>
        <v>7</v>
      </c>
    </row>
    <row r="110" spans="1:12" ht="36" x14ac:dyDescent="0.25">
      <c r="A110" s="12">
        <v>109</v>
      </c>
      <c r="B110" s="12">
        <v>4152</v>
      </c>
      <c r="C110" s="12"/>
      <c r="D110" s="13" t="s">
        <v>209</v>
      </c>
      <c r="E110" s="14" t="s">
        <v>201</v>
      </c>
      <c r="F110" s="13" t="s">
        <v>331</v>
      </c>
      <c r="G110" s="13" t="s">
        <v>16</v>
      </c>
      <c r="H110" s="10">
        <v>3</v>
      </c>
      <c r="I110" s="10">
        <v>78</v>
      </c>
      <c r="J110" s="10">
        <v>2</v>
      </c>
      <c r="K110" s="10">
        <v>9000</v>
      </c>
      <c r="L110" s="10">
        <f>Table1[[#This Row],[تعداد دانلود]]+Table1[[#This Row],[تعداد تماشا ]]</f>
        <v>5</v>
      </c>
    </row>
    <row r="111" spans="1:12" ht="36" x14ac:dyDescent="0.25">
      <c r="A111" s="12">
        <v>110</v>
      </c>
      <c r="B111" s="12">
        <v>4153</v>
      </c>
      <c r="C111" s="12"/>
      <c r="D111" s="13" t="s">
        <v>210</v>
      </c>
      <c r="E111" s="14" t="s">
        <v>201</v>
      </c>
      <c r="F111" s="13" t="s">
        <v>331</v>
      </c>
      <c r="G111" s="13" t="s">
        <v>16</v>
      </c>
      <c r="H111" s="10">
        <v>4</v>
      </c>
      <c r="I111" s="10">
        <v>93</v>
      </c>
      <c r="J111" s="10">
        <v>2</v>
      </c>
      <c r="K111" s="10">
        <v>15000</v>
      </c>
      <c r="L111" s="10">
        <f>Table1[[#This Row],[تعداد دانلود]]+Table1[[#This Row],[تعداد تماشا ]]</f>
        <v>6</v>
      </c>
    </row>
    <row r="112" spans="1:12" ht="36" x14ac:dyDescent="0.25">
      <c r="A112" s="12">
        <v>111</v>
      </c>
      <c r="B112" s="12">
        <v>4154</v>
      </c>
      <c r="C112" s="12"/>
      <c r="D112" s="13" t="s">
        <v>211</v>
      </c>
      <c r="E112" s="14" t="s">
        <v>201</v>
      </c>
      <c r="F112" s="13" t="s">
        <v>331</v>
      </c>
      <c r="G112" s="13" t="s">
        <v>16</v>
      </c>
      <c r="H112" s="10">
        <v>7</v>
      </c>
      <c r="I112" s="10">
        <v>80</v>
      </c>
      <c r="J112" s="10">
        <v>3</v>
      </c>
      <c r="K112" s="10">
        <v>12750</v>
      </c>
      <c r="L112" s="10">
        <f>Table1[[#This Row],[تعداد دانلود]]+Table1[[#This Row],[تعداد تماشا ]]</f>
        <v>10</v>
      </c>
    </row>
    <row r="113" spans="1:12" ht="36" x14ac:dyDescent="0.25">
      <c r="A113" s="12">
        <v>124</v>
      </c>
      <c r="B113" s="12">
        <v>3223</v>
      </c>
      <c r="C113" s="12"/>
      <c r="D113" s="13" t="s">
        <v>232</v>
      </c>
      <c r="E113" s="14" t="s">
        <v>233</v>
      </c>
      <c r="F113" s="13" t="s">
        <v>5</v>
      </c>
      <c r="G113" s="13" t="s">
        <v>16</v>
      </c>
      <c r="H113" s="10">
        <v>13</v>
      </c>
      <c r="I113" s="10">
        <v>22</v>
      </c>
      <c r="J113" s="10">
        <v>32</v>
      </c>
      <c r="K113" s="10">
        <f>19500+9000+66000</f>
        <v>94500</v>
      </c>
      <c r="L113" s="10">
        <f>Table1[[#This Row],[تعداد دانلود]]+Table1[[#This Row],[تعداد تماشا ]]</f>
        <v>45</v>
      </c>
    </row>
    <row r="114" spans="1:12" ht="36" x14ac:dyDescent="0.25">
      <c r="A114" s="13">
        <v>197</v>
      </c>
      <c r="B114" s="13">
        <v>9433</v>
      </c>
      <c r="C114" s="13">
        <v>960</v>
      </c>
      <c r="D114" s="13" t="s">
        <v>350</v>
      </c>
      <c r="E114" s="13" t="s">
        <v>351</v>
      </c>
      <c r="F114" s="13" t="s">
        <v>5</v>
      </c>
      <c r="G114" s="13" t="s">
        <v>16</v>
      </c>
      <c r="H114" s="11">
        <v>30</v>
      </c>
      <c r="I114" s="11">
        <v>775</v>
      </c>
      <c r="J114" s="11">
        <v>11</v>
      </c>
      <c r="K114" s="11">
        <v>169000</v>
      </c>
      <c r="L114" s="10">
        <f>Table1[[#This Row],[تعداد دانلود]]+Table1[[#This Row],[تعداد تماشا ]]</f>
        <v>41</v>
      </c>
    </row>
    <row r="115" spans="1:12" ht="36" x14ac:dyDescent="0.25">
      <c r="A115" s="13">
        <v>176</v>
      </c>
      <c r="B115" s="13">
        <v>9299</v>
      </c>
      <c r="C115" s="13">
        <v>814</v>
      </c>
      <c r="D115" s="13" t="s">
        <v>317</v>
      </c>
      <c r="E115" s="13" t="s">
        <v>318</v>
      </c>
      <c r="F115" s="13" t="s">
        <v>9</v>
      </c>
      <c r="G115" s="13" t="s">
        <v>16</v>
      </c>
      <c r="H115" s="11">
        <v>27</v>
      </c>
      <c r="I115" s="11">
        <v>611</v>
      </c>
      <c r="J115" s="11">
        <v>13</v>
      </c>
      <c r="K115" s="11">
        <v>192000</v>
      </c>
      <c r="L115" s="10">
        <f>Table1[[#This Row],[تعداد دانلود]]+Table1[[#This Row],[تعداد تماشا ]]</f>
        <v>40</v>
      </c>
    </row>
    <row r="116" spans="1:12" ht="36" x14ac:dyDescent="0.25">
      <c r="A116" s="12">
        <v>137</v>
      </c>
      <c r="B116" s="12">
        <v>1889</v>
      </c>
      <c r="C116" s="12"/>
      <c r="D116" s="13" t="s">
        <v>251</v>
      </c>
      <c r="E116" s="14" t="s">
        <v>252</v>
      </c>
      <c r="F116" s="13" t="s">
        <v>5</v>
      </c>
      <c r="G116" s="13" t="s">
        <v>16</v>
      </c>
      <c r="H116" s="10">
        <v>30</v>
      </c>
      <c r="I116" s="10">
        <v>389</v>
      </c>
      <c r="J116" s="10">
        <v>10</v>
      </c>
      <c r="K116" s="10">
        <f>6000+8000+6000+73000</f>
        <v>93000</v>
      </c>
      <c r="L116" s="10">
        <f>Table1[[#This Row],[تعداد دانلود]]+Table1[[#This Row],[تعداد تماشا ]]</f>
        <v>40</v>
      </c>
    </row>
    <row r="117" spans="1:12" ht="36" x14ac:dyDescent="0.25">
      <c r="A117" s="12">
        <v>27</v>
      </c>
      <c r="B117" s="12">
        <v>3888</v>
      </c>
      <c r="C117" s="12"/>
      <c r="D117" s="13" t="s">
        <v>64</v>
      </c>
      <c r="E117" s="14" t="s">
        <v>65</v>
      </c>
      <c r="F117" s="13" t="s">
        <v>9</v>
      </c>
      <c r="G117" s="13" t="s">
        <v>16</v>
      </c>
      <c r="H117" s="10">
        <v>31</v>
      </c>
      <c r="I117" s="10">
        <v>195</v>
      </c>
      <c r="J117" s="10">
        <v>9</v>
      </c>
      <c r="K117" s="10">
        <f>61500+15000</f>
        <v>76500</v>
      </c>
      <c r="L117" s="10">
        <f>Table1[[#This Row],[تعداد دانلود]]+Table1[[#This Row],[تعداد تماشا ]]</f>
        <v>40</v>
      </c>
    </row>
    <row r="118" spans="1:12" ht="36" x14ac:dyDescent="0.25">
      <c r="A118" s="12">
        <v>146</v>
      </c>
      <c r="B118" s="12">
        <v>323</v>
      </c>
      <c r="C118" s="12"/>
      <c r="D118" s="13" t="s">
        <v>269</v>
      </c>
      <c r="E118" s="14" t="s">
        <v>270</v>
      </c>
      <c r="F118" s="13" t="s">
        <v>5</v>
      </c>
      <c r="G118" s="13" t="s">
        <v>16</v>
      </c>
      <c r="H118" s="10">
        <v>25</v>
      </c>
      <c r="I118" s="10">
        <v>133</v>
      </c>
      <c r="J118" s="10">
        <v>15</v>
      </c>
      <c r="K118" s="10">
        <f>10000+35500</f>
        <v>45500</v>
      </c>
      <c r="L118" s="10">
        <f>Table1[[#This Row],[تعداد دانلود]]+Table1[[#This Row],[تعداد تماشا ]]</f>
        <v>40</v>
      </c>
    </row>
    <row r="119" spans="1:12" x14ac:dyDescent="0.25">
      <c r="A119" s="12">
        <v>141</v>
      </c>
      <c r="B119" s="12">
        <v>1653</v>
      </c>
      <c r="C119" s="12"/>
      <c r="D119" s="13" t="s">
        <v>259</v>
      </c>
      <c r="E119" s="14" t="s">
        <v>260</v>
      </c>
      <c r="F119" s="13" t="s">
        <v>5</v>
      </c>
      <c r="G119" s="13" t="s">
        <v>11</v>
      </c>
      <c r="H119" s="10">
        <v>15</v>
      </c>
      <c r="I119" s="10">
        <v>135</v>
      </c>
      <c r="J119" s="10">
        <v>24</v>
      </c>
      <c r="K119" s="10">
        <f>91000+42000</f>
        <v>133000</v>
      </c>
      <c r="L119" s="10">
        <f>Table1[[#This Row],[تعداد دانلود]]+Table1[[#This Row],[تعداد تماشا ]]</f>
        <v>39</v>
      </c>
    </row>
    <row r="120" spans="1:12" ht="36" x14ac:dyDescent="0.25">
      <c r="A120" s="13">
        <v>186</v>
      </c>
      <c r="B120" s="13">
        <v>5299</v>
      </c>
      <c r="C120" s="13">
        <v>83</v>
      </c>
      <c r="D120" s="13" t="s">
        <v>340</v>
      </c>
      <c r="E120" s="13" t="s">
        <v>341</v>
      </c>
      <c r="F120" s="13" t="s">
        <v>5</v>
      </c>
      <c r="G120" s="13" t="s">
        <v>16</v>
      </c>
      <c r="H120" s="11">
        <v>28</v>
      </c>
      <c r="I120" s="11">
        <v>265</v>
      </c>
      <c r="J120" s="11">
        <v>11</v>
      </c>
      <c r="K120" s="11">
        <v>104000</v>
      </c>
      <c r="L120" s="10">
        <f>Table1[[#This Row],[تعداد دانلود]]+Table1[[#This Row],[تعداد تماشا ]]</f>
        <v>39</v>
      </c>
    </row>
    <row r="121" spans="1:12" ht="36" x14ac:dyDescent="0.25">
      <c r="A121" s="12">
        <v>23</v>
      </c>
      <c r="B121" s="12">
        <v>3838</v>
      </c>
      <c r="C121" s="12"/>
      <c r="D121" s="13" t="s">
        <v>57</v>
      </c>
      <c r="E121" s="14" t="s">
        <v>58</v>
      </c>
      <c r="F121" s="13" t="s">
        <v>9</v>
      </c>
      <c r="G121" s="13" t="s">
        <v>16</v>
      </c>
      <c r="H121" s="10">
        <v>30</v>
      </c>
      <c r="I121" s="10">
        <v>300</v>
      </c>
      <c r="J121" s="10">
        <v>9</v>
      </c>
      <c r="K121" s="10">
        <f>63000+6000+18000+3000</f>
        <v>90000</v>
      </c>
      <c r="L121" s="10">
        <f>Table1[[#This Row],[تعداد دانلود]]+Table1[[#This Row],[تعداد تماشا ]]</f>
        <v>39</v>
      </c>
    </row>
    <row r="122" spans="1:12" ht="36" x14ac:dyDescent="0.25">
      <c r="A122" s="12">
        <v>61</v>
      </c>
      <c r="B122" s="12">
        <v>1269</v>
      </c>
      <c r="C122" s="12"/>
      <c r="D122" s="13" t="s">
        <v>132</v>
      </c>
      <c r="E122" s="14" t="s">
        <v>133</v>
      </c>
      <c r="F122" s="13" t="s">
        <v>9</v>
      </c>
      <c r="G122" s="13" t="s">
        <v>16</v>
      </c>
      <c r="H122" s="10">
        <v>24</v>
      </c>
      <c r="I122" s="10">
        <v>204</v>
      </c>
      <c r="J122" s="10">
        <v>14</v>
      </c>
      <c r="K122" s="10">
        <f>274000+23000+16000</f>
        <v>313000</v>
      </c>
      <c r="L122" s="10">
        <f>Table1[[#This Row],[تعداد دانلود]]+Table1[[#This Row],[تعداد تماشا ]]</f>
        <v>38</v>
      </c>
    </row>
    <row r="123" spans="1:12" ht="36" x14ac:dyDescent="0.25">
      <c r="A123" s="12">
        <v>119</v>
      </c>
      <c r="B123" s="12">
        <v>3073</v>
      </c>
      <c r="C123" s="12"/>
      <c r="D123" s="13" t="s">
        <v>222</v>
      </c>
      <c r="E123" s="14" t="s">
        <v>223</v>
      </c>
      <c r="F123" s="13" t="s">
        <v>5</v>
      </c>
      <c r="G123" s="13" t="s">
        <v>16</v>
      </c>
      <c r="H123" s="10">
        <v>18</v>
      </c>
      <c r="I123" s="10">
        <v>59</v>
      </c>
      <c r="J123" s="10">
        <v>20</v>
      </c>
      <c r="K123" s="10">
        <f>63750+21000+1500</f>
        <v>86250</v>
      </c>
      <c r="L123" s="10">
        <f>Table1[[#This Row],[تعداد دانلود]]+Table1[[#This Row],[تعداد تماشا ]]</f>
        <v>38</v>
      </c>
    </row>
    <row r="124" spans="1:12" ht="36" x14ac:dyDescent="0.25">
      <c r="A124" s="13">
        <v>177</v>
      </c>
      <c r="B124" s="13">
        <v>8992</v>
      </c>
      <c r="C124" s="13">
        <v>824</v>
      </c>
      <c r="D124" s="13" t="s">
        <v>319</v>
      </c>
      <c r="E124" s="13" t="s">
        <v>320</v>
      </c>
      <c r="F124" s="13" t="s">
        <v>9</v>
      </c>
      <c r="G124" s="13" t="s">
        <v>16</v>
      </c>
      <c r="H124" s="11">
        <v>29</v>
      </c>
      <c r="I124" s="11">
        <v>702</v>
      </c>
      <c r="J124" s="11">
        <v>8</v>
      </c>
      <c r="K124" s="11">
        <v>149000</v>
      </c>
      <c r="L124" s="10">
        <f>Table1[[#This Row],[تعداد دانلود]]+Table1[[#This Row],[تعداد تماشا ]]</f>
        <v>37</v>
      </c>
    </row>
    <row r="125" spans="1:12" ht="36" x14ac:dyDescent="0.25">
      <c r="A125" s="12">
        <v>28</v>
      </c>
      <c r="B125" s="12">
        <v>3918</v>
      </c>
      <c r="C125" s="12"/>
      <c r="D125" s="13" t="s">
        <v>66</v>
      </c>
      <c r="E125" s="14" t="s">
        <v>67</v>
      </c>
      <c r="F125" s="13" t="s">
        <v>9</v>
      </c>
      <c r="G125" s="13" t="s">
        <v>16</v>
      </c>
      <c r="H125" s="10">
        <v>18</v>
      </c>
      <c r="I125" s="10">
        <v>127</v>
      </c>
      <c r="J125" s="10">
        <v>19</v>
      </c>
      <c r="K125" s="10">
        <f>3000+15000+18000+48000</f>
        <v>84000</v>
      </c>
      <c r="L125" s="10">
        <f>Table1[[#This Row],[تعداد دانلود]]+Table1[[#This Row],[تعداد تماشا ]]</f>
        <v>37</v>
      </c>
    </row>
    <row r="126" spans="1:12" ht="36" x14ac:dyDescent="0.25">
      <c r="A126" s="12">
        <v>125</v>
      </c>
      <c r="B126" s="12">
        <v>3389</v>
      </c>
      <c r="C126" s="12"/>
      <c r="D126" s="13" t="s">
        <v>235</v>
      </c>
      <c r="E126" s="14" t="s">
        <v>234</v>
      </c>
      <c r="F126" s="13" t="s">
        <v>331</v>
      </c>
      <c r="G126" s="13" t="s">
        <v>16</v>
      </c>
      <c r="H126" s="10">
        <v>45</v>
      </c>
      <c r="I126" s="10">
        <v>234</v>
      </c>
      <c r="J126" s="10">
        <v>16</v>
      </c>
      <c r="K126" s="10">
        <f>30000+3000+9000+7500</f>
        <v>49500</v>
      </c>
      <c r="L126" s="10">
        <f>Table1[[#This Row],[تعداد دانلود]]+Table1[[#This Row],[تعداد تماشا ]]</f>
        <v>61</v>
      </c>
    </row>
    <row r="127" spans="1:12" ht="36" x14ac:dyDescent="0.25">
      <c r="A127" s="12">
        <v>126</v>
      </c>
      <c r="B127" s="12">
        <v>3390</v>
      </c>
      <c r="C127" s="12"/>
      <c r="D127" s="13" t="s">
        <v>236</v>
      </c>
      <c r="E127" s="14" t="s">
        <v>234</v>
      </c>
      <c r="F127" s="13" t="s">
        <v>331</v>
      </c>
      <c r="G127" s="13" t="s">
        <v>16</v>
      </c>
      <c r="H127" s="10">
        <v>14</v>
      </c>
      <c r="I127" s="10">
        <v>21</v>
      </c>
      <c r="J127" s="10">
        <v>3</v>
      </c>
      <c r="K127" s="10">
        <v>27750</v>
      </c>
      <c r="L127" s="10">
        <f>Table1[[#This Row],[تعداد دانلود]]+Table1[[#This Row],[تعداد تماشا ]]</f>
        <v>17</v>
      </c>
    </row>
    <row r="128" spans="1:12" ht="36" x14ac:dyDescent="0.25">
      <c r="A128" s="12">
        <v>127</v>
      </c>
      <c r="B128" s="12">
        <v>3391</v>
      </c>
      <c r="C128" s="12"/>
      <c r="D128" s="13" t="s">
        <v>237</v>
      </c>
      <c r="E128" s="14" t="s">
        <v>234</v>
      </c>
      <c r="F128" s="13" t="s">
        <v>331</v>
      </c>
      <c r="G128" s="13" t="s">
        <v>16</v>
      </c>
      <c r="H128" s="10">
        <v>4</v>
      </c>
      <c r="I128" s="10">
        <v>0</v>
      </c>
      <c r="J128" s="10">
        <v>2</v>
      </c>
      <c r="K128" s="10">
        <f>36750</f>
        <v>36750</v>
      </c>
      <c r="L128" s="10">
        <f>Table1[[#This Row],[تعداد دانلود]]+Table1[[#This Row],[تعداد تماشا ]]</f>
        <v>6</v>
      </c>
    </row>
    <row r="129" spans="1:12" ht="36" x14ac:dyDescent="0.25">
      <c r="A129" s="12">
        <v>128</v>
      </c>
      <c r="B129" s="12">
        <v>3392</v>
      </c>
      <c r="C129" s="12"/>
      <c r="D129" s="13" t="s">
        <v>238</v>
      </c>
      <c r="E129" s="14" t="s">
        <v>234</v>
      </c>
      <c r="F129" s="13" t="s">
        <v>331</v>
      </c>
      <c r="G129" s="13" t="s">
        <v>16</v>
      </c>
      <c r="H129" s="10">
        <v>7</v>
      </c>
      <c r="I129" s="10">
        <v>27</v>
      </c>
      <c r="J129" s="10">
        <v>1</v>
      </c>
      <c r="K129" s="10">
        <v>27750</v>
      </c>
      <c r="L129" s="10">
        <f>Table1[[#This Row],[تعداد دانلود]]+Table1[[#This Row],[تعداد تماشا ]]</f>
        <v>8</v>
      </c>
    </row>
    <row r="130" spans="1:12" ht="36" x14ac:dyDescent="0.25">
      <c r="A130" s="12">
        <v>53</v>
      </c>
      <c r="B130" s="12">
        <v>1243</v>
      </c>
      <c r="C130" s="12"/>
      <c r="D130" s="13" t="s">
        <v>116</v>
      </c>
      <c r="E130" s="14" t="s">
        <v>117</v>
      </c>
      <c r="F130" s="13" t="s">
        <v>9</v>
      </c>
      <c r="G130" s="13" t="s">
        <v>16</v>
      </c>
      <c r="H130" s="10">
        <v>24</v>
      </c>
      <c r="I130" s="10">
        <v>112</v>
      </c>
      <c r="J130" s="10">
        <v>12</v>
      </c>
      <c r="K130" s="10">
        <f>145500+18000+6000</f>
        <v>169500</v>
      </c>
      <c r="L130" s="10">
        <f>Table1[[#This Row],[تعداد دانلود]]+Table1[[#This Row],[تعداد تماشا ]]</f>
        <v>36</v>
      </c>
    </row>
    <row r="131" spans="1:12" ht="36" x14ac:dyDescent="0.25">
      <c r="A131" s="12">
        <v>30</v>
      </c>
      <c r="B131" s="12">
        <v>3936</v>
      </c>
      <c r="C131" s="12"/>
      <c r="D131" s="13" t="s">
        <v>70</v>
      </c>
      <c r="E131" s="14" t="s">
        <v>71</v>
      </c>
      <c r="F131" s="13" t="s">
        <v>9</v>
      </c>
      <c r="G131" s="13" t="s">
        <v>16</v>
      </c>
      <c r="H131" s="10">
        <v>32</v>
      </c>
      <c r="I131" s="10">
        <v>188</v>
      </c>
      <c r="J131" s="10">
        <v>3</v>
      </c>
      <c r="K131" s="10">
        <f>5000+10000+72500</f>
        <v>87500</v>
      </c>
      <c r="L131" s="10">
        <f>Table1[[#This Row],[تعداد دانلود]]+Table1[[#This Row],[تعداد تماشا ]]</f>
        <v>35</v>
      </c>
    </row>
    <row r="132" spans="1:12" ht="36" x14ac:dyDescent="0.25">
      <c r="A132" s="12">
        <v>131</v>
      </c>
      <c r="B132" s="12">
        <v>1141</v>
      </c>
      <c r="C132" s="12"/>
      <c r="D132" s="13" t="s">
        <v>243</v>
      </c>
      <c r="E132" s="14" t="s">
        <v>247</v>
      </c>
      <c r="F132" s="13" t="s">
        <v>331</v>
      </c>
      <c r="G132" s="13" t="s">
        <v>16</v>
      </c>
      <c r="H132" s="10">
        <v>49</v>
      </c>
      <c r="I132" s="10">
        <v>402</v>
      </c>
      <c r="J132" s="10">
        <v>33</v>
      </c>
      <c r="K132" s="10">
        <f>14000+30000+12000+120000</f>
        <v>176000</v>
      </c>
      <c r="L132" s="10">
        <f>Table1[[#This Row],[تعداد دانلود]]+Table1[[#This Row],[تعداد تماشا ]]</f>
        <v>82</v>
      </c>
    </row>
    <row r="133" spans="1:12" ht="36" x14ac:dyDescent="0.25">
      <c r="A133" s="12">
        <v>132</v>
      </c>
      <c r="B133" s="12">
        <v>1142</v>
      </c>
      <c r="C133" s="12"/>
      <c r="D133" s="13" t="s">
        <v>244</v>
      </c>
      <c r="E133" s="14" t="s">
        <v>247</v>
      </c>
      <c r="F133" s="13" t="s">
        <v>331</v>
      </c>
      <c r="G133" s="13" t="s">
        <v>16</v>
      </c>
      <c r="H133" s="10">
        <v>15</v>
      </c>
      <c r="I133" s="10">
        <v>101</v>
      </c>
      <c r="J133" s="10">
        <v>28</v>
      </c>
      <c r="K133" s="10">
        <f>64000+32000</f>
        <v>96000</v>
      </c>
      <c r="L133" s="10">
        <f>Table1[[#This Row],[تعداد دانلود]]+Table1[[#This Row],[تعداد تماشا ]]</f>
        <v>43</v>
      </c>
    </row>
    <row r="134" spans="1:12" ht="36" x14ac:dyDescent="0.25">
      <c r="A134" s="12">
        <v>133</v>
      </c>
      <c r="B134" s="12">
        <v>1146</v>
      </c>
      <c r="C134" s="12"/>
      <c r="D134" s="13" t="s">
        <v>245</v>
      </c>
      <c r="E134" s="14" t="s">
        <v>247</v>
      </c>
      <c r="F134" s="13" t="s">
        <v>331</v>
      </c>
      <c r="G134" s="13" t="s">
        <v>16</v>
      </c>
      <c r="H134" s="10">
        <v>11</v>
      </c>
      <c r="I134" s="10">
        <v>186</v>
      </c>
      <c r="J134" s="10">
        <v>24</v>
      </c>
      <c r="K134" s="10">
        <f>4000+24000+4000+58000</f>
        <v>90000</v>
      </c>
      <c r="L134" s="10">
        <f>Table1[[#This Row],[تعداد دانلود]]+Table1[[#This Row],[تعداد تماشا ]]</f>
        <v>35</v>
      </c>
    </row>
    <row r="135" spans="1:12" ht="36" x14ac:dyDescent="0.25">
      <c r="A135" s="12">
        <v>134</v>
      </c>
      <c r="B135" s="12">
        <v>1154</v>
      </c>
      <c r="C135" s="12"/>
      <c r="D135" s="13" t="s">
        <v>246</v>
      </c>
      <c r="E135" s="14" t="s">
        <v>247</v>
      </c>
      <c r="F135" s="13" t="s">
        <v>331</v>
      </c>
      <c r="G135" s="13" t="s">
        <v>16</v>
      </c>
      <c r="H135" s="10">
        <v>9</v>
      </c>
      <c r="I135" s="10">
        <v>99</v>
      </c>
      <c r="J135" s="10">
        <v>22</v>
      </c>
      <c r="K135" s="10">
        <f>45000+30000</f>
        <v>75000</v>
      </c>
      <c r="L135" s="10">
        <f>Table1[[#This Row],[تعداد دانلود]]+Table1[[#This Row],[تعداد تماشا ]]</f>
        <v>31</v>
      </c>
    </row>
    <row r="136" spans="1:12" x14ac:dyDescent="0.25">
      <c r="A136" s="12">
        <v>135</v>
      </c>
      <c r="B136" s="12">
        <v>7703</v>
      </c>
      <c r="C136" s="12"/>
      <c r="D136" s="13" t="s">
        <v>249</v>
      </c>
      <c r="E136" s="14" t="s">
        <v>248</v>
      </c>
      <c r="F136" s="13" t="s">
        <v>331</v>
      </c>
      <c r="G136" s="13" t="s">
        <v>11</v>
      </c>
      <c r="H136" s="10">
        <v>27</v>
      </c>
      <c r="I136" s="10">
        <v>118</v>
      </c>
      <c r="J136" s="10">
        <v>25</v>
      </c>
      <c r="K136" s="10">
        <v>0</v>
      </c>
      <c r="L136" s="10">
        <f>Table1[[#This Row],[تعداد دانلود]]+Table1[[#This Row],[تعداد تماشا ]]</f>
        <v>52</v>
      </c>
    </row>
    <row r="137" spans="1:12" x14ac:dyDescent="0.25">
      <c r="A137" s="12">
        <v>136</v>
      </c>
      <c r="B137" s="12">
        <v>7704</v>
      </c>
      <c r="C137" s="12"/>
      <c r="D137" s="13" t="s">
        <v>250</v>
      </c>
      <c r="E137" s="14" t="s">
        <v>248</v>
      </c>
      <c r="F137" s="13" t="s">
        <v>331</v>
      </c>
      <c r="G137" s="13" t="s">
        <v>11</v>
      </c>
      <c r="H137" s="10">
        <v>8</v>
      </c>
      <c r="I137" s="10">
        <v>0</v>
      </c>
      <c r="J137" s="10">
        <v>21</v>
      </c>
      <c r="K137" s="10">
        <v>0</v>
      </c>
      <c r="L137" s="10">
        <f>Table1[[#This Row],[تعداد دانلود]]+Table1[[#This Row],[تعداد تماشا ]]</f>
        <v>29</v>
      </c>
    </row>
    <row r="138" spans="1:12" ht="36" x14ac:dyDescent="0.25">
      <c r="A138" s="12">
        <v>17</v>
      </c>
      <c r="B138" s="12">
        <v>3738</v>
      </c>
      <c r="C138" s="12"/>
      <c r="D138" s="13" t="s">
        <v>45</v>
      </c>
      <c r="E138" s="14" t="s">
        <v>46</v>
      </c>
      <c r="F138" s="13" t="s">
        <v>9</v>
      </c>
      <c r="G138" s="13" t="s">
        <v>16</v>
      </c>
      <c r="H138" s="10">
        <v>18</v>
      </c>
      <c r="I138" s="10">
        <v>543</v>
      </c>
      <c r="J138" s="10">
        <v>16</v>
      </c>
      <c r="K138" s="10">
        <f>88500+21000+12000</f>
        <v>121500</v>
      </c>
      <c r="L138" s="10">
        <f>Table1[[#This Row],[تعداد دانلود]]+Table1[[#This Row],[تعداد تماشا ]]</f>
        <v>34</v>
      </c>
    </row>
    <row r="139" spans="1:12" ht="36" x14ac:dyDescent="0.25">
      <c r="A139" s="12">
        <v>148</v>
      </c>
      <c r="B139" s="12">
        <v>367</v>
      </c>
      <c r="C139" s="12"/>
      <c r="D139" s="13" t="s">
        <v>273</v>
      </c>
      <c r="E139" s="14" t="s">
        <v>274</v>
      </c>
      <c r="F139" s="13" t="s">
        <v>5</v>
      </c>
      <c r="G139" s="13" t="s">
        <v>16</v>
      </c>
      <c r="H139" s="10">
        <v>15</v>
      </c>
      <c r="I139" s="10">
        <v>89</v>
      </c>
      <c r="J139" s="10">
        <v>19</v>
      </c>
      <c r="K139" s="10">
        <f>26000+36500</f>
        <v>62500</v>
      </c>
      <c r="L139" s="10">
        <f>Table1[[#This Row],[تعداد دانلود]]+Table1[[#This Row],[تعداد تماشا ]]</f>
        <v>34</v>
      </c>
    </row>
    <row r="140" spans="1:12" ht="36" x14ac:dyDescent="0.25">
      <c r="A140" s="12">
        <v>34</v>
      </c>
      <c r="B140" s="12">
        <v>4181</v>
      </c>
      <c r="C140" s="12"/>
      <c r="D140" s="13" t="s">
        <v>78</v>
      </c>
      <c r="E140" s="14" t="s">
        <v>79</v>
      </c>
      <c r="F140" s="13" t="s">
        <v>9</v>
      </c>
      <c r="G140" s="13" t="s">
        <v>16</v>
      </c>
      <c r="H140" s="10">
        <v>23</v>
      </c>
      <c r="I140" s="10">
        <v>218</v>
      </c>
      <c r="J140" s="10">
        <v>10</v>
      </c>
      <c r="K140" s="10">
        <f>4000+24000+4000+78000</f>
        <v>110000</v>
      </c>
      <c r="L140" s="10">
        <f>Table1[[#This Row],[تعداد دانلود]]+Table1[[#This Row],[تعداد تماشا ]]</f>
        <v>33</v>
      </c>
    </row>
    <row r="141" spans="1:12" ht="36" x14ac:dyDescent="0.25">
      <c r="A141" s="12">
        <v>129</v>
      </c>
      <c r="B141" s="12">
        <v>2156</v>
      </c>
      <c r="C141" s="12"/>
      <c r="D141" s="13" t="s">
        <v>239</v>
      </c>
      <c r="E141" s="14" t="s">
        <v>240</v>
      </c>
      <c r="F141" s="13" t="s">
        <v>5</v>
      </c>
      <c r="G141" s="13" t="s">
        <v>16</v>
      </c>
      <c r="H141" s="10">
        <v>18</v>
      </c>
      <c r="I141" s="10">
        <v>38</v>
      </c>
      <c r="J141" s="10">
        <v>14</v>
      </c>
      <c r="K141" s="10">
        <f>27000+58500</f>
        <v>85500</v>
      </c>
      <c r="L141" s="10">
        <f>Table1[[#This Row],[تعداد دانلود]]+Table1[[#This Row],[تعداد تماشا ]]</f>
        <v>32</v>
      </c>
    </row>
    <row r="142" spans="1:12" ht="36" x14ac:dyDescent="0.25">
      <c r="A142" s="13">
        <v>165</v>
      </c>
      <c r="B142" s="13">
        <v>5037</v>
      </c>
      <c r="C142" s="13">
        <v>137</v>
      </c>
      <c r="D142" s="13" t="s">
        <v>299</v>
      </c>
      <c r="E142" s="13" t="s">
        <v>300</v>
      </c>
      <c r="F142" s="13" t="s">
        <v>9</v>
      </c>
      <c r="G142" s="13" t="s">
        <v>16</v>
      </c>
      <c r="H142" s="11">
        <v>32</v>
      </c>
      <c r="I142" s="11">
        <v>324</v>
      </c>
      <c r="J142" s="11">
        <v>0</v>
      </c>
      <c r="K142" s="11">
        <v>26000</v>
      </c>
      <c r="L142" s="10">
        <f>Table1[[#This Row],[تعداد دانلود]]+Table1[[#This Row],[تعداد تماشا ]]</f>
        <v>32</v>
      </c>
    </row>
    <row r="143" spans="1:12" ht="36" x14ac:dyDescent="0.25">
      <c r="A143" s="12">
        <v>50</v>
      </c>
      <c r="B143" s="12">
        <v>1207</v>
      </c>
      <c r="C143" s="12"/>
      <c r="D143" s="13" t="s">
        <v>110</v>
      </c>
      <c r="E143" s="14" t="s">
        <v>111</v>
      </c>
      <c r="F143" s="13" t="s">
        <v>9</v>
      </c>
      <c r="G143" s="13" t="s">
        <v>16</v>
      </c>
      <c r="H143" s="10">
        <v>17</v>
      </c>
      <c r="I143" s="10">
        <v>213</v>
      </c>
      <c r="J143" s="10">
        <v>14</v>
      </c>
      <c r="K143" s="10">
        <f>3000+9000+9000+163500</f>
        <v>184500</v>
      </c>
      <c r="L143" s="10">
        <f>Table1[[#This Row],[تعداد دانلود]]+Table1[[#This Row],[تعداد تماشا ]]</f>
        <v>31</v>
      </c>
    </row>
    <row r="144" spans="1:12" ht="36" x14ac:dyDescent="0.25">
      <c r="A144" s="12">
        <v>42</v>
      </c>
      <c r="B144" s="12">
        <v>1116</v>
      </c>
      <c r="C144" s="12"/>
      <c r="D144" s="13" t="s">
        <v>94</v>
      </c>
      <c r="E144" s="14" t="s">
        <v>95</v>
      </c>
      <c r="F144" s="13" t="s">
        <v>9</v>
      </c>
      <c r="G144" s="13" t="s">
        <v>16</v>
      </c>
      <c r="H144" s="10">
        <v>16</v>
      </c>
      <c r="I144" s="10">
        <v>95</v>
      </c>
      <c r="J144" s="10">
        <v>14</v>
      </c>
      <c r="K144" s="10">
        <f>25000+20000+552500</f>
        <v>597500</v>
      </c>
      <c r="L144" s="10">
        <f>Table1[[#This Row],[تعداد دانلود]]+Table1[[#This Row],[تعداد تماشا ]]</f>
        <v>30</v>
      </c>
    </row>
    <row r="145" spans="1:12" ht="36" x14ac:dyDescent="0.25">
      <c r="A145" s="12">
        <v>51</v>
      </c>
      <c r="B145" s="12">
        <v>1228</v>
      </c>
      <c r="C145" s="12"/>
      <c r="D145" s="13" t="s">
        <v>112</v>
      </c>
      <c r="E145" s="14" t="s">
        <v>113</v>
      </c>
      <c r="F145" s="13" t="s">
        <v>9</v>
      </c>
      <c r="G145" s="13" t="s">
        <v>16</v>
      </c>
      <c r="H145" s="10">
        <v>27</v>
      </c>
      <c r="I145" s="10">
        <v>330</v>
      </c>
      <c r="J145" s="10">
        <v>3</v>
      </c>
      <c r="K145" s="10">
        <f>171000+9000+6000</f>
        <v>186000</v>
      </c>
      <c r="L145" s="10">
        <f>Table1[[#This Row],[تعداد دانلود]]+Table1[[#This Row],[تعداد تماشا ]]</f>
        <v>30</v>
      </c>
    </row>
    <row r="146" spans="1:12" ht="36" x14ac:dyDescent="0.25">
      <c r="A146" s="12">
        <v>20</v>
      </c>
      <c r="B146" s="12">
        <v>3794</v>
      </c>
      <c r="C146" s="12"/>
      <c r="D146" s="13" t="s">
        <v>53</v>
      </c>
      <c r="E146" s="14" t="s">
        <v>54</v>
      </c>
      <c r="F146" s="13" t="s">
        <v>9</v>
      </c>
      <c r="G146" s="13" t="s">
        <v>16</v>
      </c>
      <c r="H146" s="10">
        <v>12</v>
      </c>
      <c r="I146" s="10">
        <v>116</v>
      </c>
      <c r="J146" s="10">
        <v>18</v>
      </c>
      <c r="K146" s="10">
        <f>3000+30000+6000+52500</f>
        <v>91500</v>
      </c>
      <c r="L146" s="10">
        <f>Table1[[#This Row],[تعداد دانلود]]+Table1[[#This Row],[تعداد تماشا ]]</f>
        <v>30</v>
      </c>
    </row>
    <row r="147" spans="1:12" ht="36" x14ac:dyDescent="0.25">
      <c r="A147" s="12">
        <v>39</v>
      </c>
      <c r="B147" s="12">
        <v>6478</v>
      </c>
      <c r="C147" s="12"/>
      <c r="D147" s="13" t="s">
        <v>88</v>
      </c>
      <c r="E147" s="14" t="s">
        <v>89</v>
      </c>
      <c r="F147" s="13" t="s">
        <v>9</v>
      </c>
      <c r="G147" s="13" t="s">
        <v>16</v>
      </c>
      <c r="H147" s="10">
        <v>20</v>
      </c>
      <c r="I147" s="10">
        <v>47</v>
      </c>
      <c r="J147" s="10">
        <v>10</v>
      </c>
      <c r="K147" s="10">
        <f>9000+15000+3000</f>
        <v>27000</v>
      </c>
      <c r="L147" s="10">
        <f>Table1[[#This Row],[تعداد دانلود]]+Table1[[#This Row],[تعداد تماشا ]]</f>
        <v>30</v>
      </c>
    </row>
    <row r="148" spans="1:12" ht="36" x14ac:dyDescent="0.25">
      <c r="A148" s="12">
        <v>44</v>
      </c>
      <c r="B148" s="12">
        <v>1106</v>
      </c>
      <c r="C148" s="12"/>
      <c r="D148" s="13" t="s">
        <v>98</v>
      </c>
      <c r="E148" s="14" t="s">
        <v>99</v>
      </c>
      <c r="F148" s="13" t="s">
        <v>9</v>
      </c>
      <c r="G148" s="13" t="s">
        <v>16</v>
      </c>
      <c r="H148" s="10">
        <v>7</v>
      </c>
      <c r="I148" s="10">
        <v>94</v>
      </c>
      <c r="J148" s="10">
        <v>22</v>
      </c>
      <c r="K148" s="10">
        <f>10000+55000+257500</f>
        <v>322500</v>
      </c>
      <c r="L148" s="10">
        <f>Table1[[#This Row],[تعداد دانلود]]+Table1[[#This Row],[تعداد تماشا ]]</f>
        <v>29</v>
      </c>
    </row>
    <row r="149" spans="1:12" ht="36" x14ac:dyDescent="0.25">
      <c r="A149" s="12">
        <v>140</v>
      </c>
      <c r="B149" s="12">
        <v>2015</v>
      </c>
      <c r="C149" s="12"/>
      <c r="D149" s="13" t="s">
        <v>257</v>
      </c>
      <c r="E149" s="14" t="s">
        <v>258</v>
      </c>
      <c r="F149" s="13" t="s">
        <v>5</v>
      </c>
      <c r="G149" s="13" t="s">
        <v>16</v>
      </c>
      <c r="H149" s="10">
        <v>21</v>
      </c>
      <c r="I149" s="10">
        <v>140</v>
      </c>
      <c r="J149" s="10">
        <v>8</v>
      </c>
      <c r="K149" s="10">
        <v>66000</v>
      </c>
      <c r="L149" s="10">
        <f>Table1[[#This Row],[تعداد دانلود]]+Table1[[#This Row],[تعداد تماشا ]]</f>
        <v>29</v>
      </c>
    </row>
    <row r="150" spans="1:12" ht="36" x14ac:dyDescent="0.25">
      <c r="A150" s="12">
        <v>149</v>
      </c>
      <c r="B150" s="12">
        <v>3757</v>
      </c>
      <c r="C150" s="12"/>
      <c r="D150" s="13" t="s">
        <v>277</v>
      </c>
      <c r="E150" s="14" t="s">
        <v>275</v>
      </c>
      <c r="F150" s="13" t="s">
        <v>4</v>
      </c>
      <c r="G150" s="13" t="s">
        <v>16</v>
      </c>
      <c r="H150" s="10">
        <v>50</v>
      </c>
      <c r="I150" s="10">
        <v>227</v>
      </c>
      <c r="J150" s="10">
        <v>3</v>
      </c>
      <c r="K150" s="10">
        <f>6000+3000+1500</f>
        <v>10500</v>
      </c>
      <c r="L150" s="10">
        <f>Table1[[#This Row],[تعداد دانلود]]+Table1[[#This Row],[تعداد تماشا ]]</f>
        <v>53</v>
      </c>
    </row>
    <row r="151" spans="1:12" ht="36" x14ac:dyDescent="0.25">
      <c r="A151" s="12">
        <v>150</v>
      </c>
      <c r="B151" s="12">
        <v>3758</v>
      </c>
      <c r="C151" s="12"/>
      <c r="D151" s="13" t="s">
        <v>278</v>
      </c>
      <c r="E151" s="14" t="s">
        <v>275</v>
      </c>
      <c r="F151" s="13" t="s">
        <v>4</v>
      </c>
      <c r="G151" s="13" t="s">
        <v>16</v>
      </c>
      <c r="H151" s="10">
        <v>7</v>
      </c>
      <c r="I151" s="10">
        <v>68</v>
      </c>
      <c r="J151" s="10">
        <v>0</v>
      </c>
      <c r="K151" s="10">
        <v>3000</v>
      </c>
      <c r="L151" s="10">
        <f>Table1[[#This Row],[تعداد دانلود]]+Table1[[#This Row],[تعداد تماشا ]]</f>
        <v>7</v>
      </c>
    </row>
    <row r="152" spans="1:12" ht="36" x14ac:dyDescent="0.25">
      <c r="A152" s="12">
        <v>151</v>
      </c>
      <c r="B152" s="12">
        <v>3759</v>
      </c>
      <c r="C152" s="12"/>
      <c r="D152" s="13" t="s">
        <v>279</v>
      </c>
      <c r="E152" s="14" t="s">
        <v>275</v>
      </c>
      <c r="F152" s="13" t="s">
        <v>4</v>
      </c>
      <c r="G152" s="13" t="s">
        <v>16</v>
      </c>
      <c r="H152" s="10">
        <v>3</v>
      </c>
      <c r="I152" s="10">
        <v>28</v>
      </c>
      <c r="J152" s="10">
        <v>0</v>
      </c>
      <c r="K152" s="10">
        <v>1500</v>
      </c>
      <c r="L152" s="10">
        <f>Table1[[#This Row],[تعداد دانلود]]+Table1[[#This Row],[تعداد تماشا ]]</f>
        <v>3</v>
      </c>
    </row>
    <row r="153" spans="1:12" ht="36" x14ac:dyDescent="0.25">
      <c r="A153" s="12">
        <v>152</v>
      </c>
      <c r="B153" s="12">
        <v>3760</v>
      </c>
      <c r="C153" s="12"/>
      <c r="D153" s="13" t="s">
        <v>280</v>
      </c>
      <c r="E153" s="14" t="s">
        <v>275</v>
      </c>
      <c r="F153" s="13" t="s">
        <v>4</v>
      </c>
      <c r="G153" s="13" t="s">
        <v>16</v>
      </c>
      <c r="H153" s="10">
        <v>3</v>
      </c>
      <c r="I153" s="10">
        <v>0</v>
      </c>
      <c r="J153" s="10">
        <v>0</v>
      </c>
      <c r="K153" s="10">
        <v>0</v>
      </c>
      <c r="L153" s="10">
        <f>Table1[[#This Row],[تعداد دانلود]]+Table1[[#This Row],[تعداد تماشا ]]</f>
        <v>3</v>
      </c>
    </row>
    <row r="154" spans="1:12" ht="36" x14ac:dyDescent="0.25">
      <c r="A154" s="12">
        <v>153</v>
      </c>
      <c r="B154" s="12">
        <v>3761</v>
      </c>
      <c r="C154" s="12"/>
      <c r="D154" s="13" t="s">
        <v>281</v>
      </c>
      <c r="E154" s="14" t="s">
        <v>275</v>
      </c>
      <c r="F154" s="13" t="s">
        <v>4</v>
      </c>
      <c r="G154" s="13" t="s">
        <v>16</v>
      </c>
      <c r="H154" s="10">
        <v>0</v>
      </c>
      <c r="I154" s="10">
        <v>0</v>
      </c>
      <c r="J154" s="10">
        <v>0</v>
      </c>
      <c r="K154" s="10">
        <v>0</v>
      </c>
      <c r="L154" s="10">
        <f>Table1[[#This Row],[تعداد دانلود]]+Table1[[#This Row],[تعداد تماشا ]]</f>
        <v>0</v>
      </c>
    </row>
    <row r="155" spans="1:12" ht="36" x14ac:dyDescent="0.25">
      <c r="A155" s="12">
        <v>154</v>
      </c>
      <c r="B155" s="12">
        <v>3762</v>
      </c>
      <c r="C155" s="12"/>
      <c r="D155" s="13" t="s">
        <v>282</v>
      </c>
      <c r="E155" s="14" t="s">
        <v>275</v>
      </c>
      <c r="F155" s="13" t="s">
        <v>4</v>
      </c>
      <c r="G155" s="13" t="s">
        <v>16</v>
      </c>
      <c r="H155" s="10">
        <v>1</v>
      </c>
      <c r="I155" s="10">
        <v>0</v>
      </c>
      <c r="J155" s="10">
        <v>0</v>
      </c>
      <c r="K155" s="10">
        <v>0</v>
      </c>
      <c r="L155" s="10">
        <f>Table1[[#This Row],[تعداد دانلود]]+Table1[[#This Row],[تعداد تماشا ]]</f>
        <v>1</v>
      </c>
    </row>
    <row r="156" spans="1:12" ht="36" x14ac:dyDescent="0.25">
      <c r="A156" s="12">
        <v>155</v>
      </c>
      <c r="B156" s="12">
        <v>3764</v>
      </c>
      <c r="C156" s="12"/>
      <c r="D156" s="13" t="s">
        <v>283</v>
      </c>
      <c r="E156" s="14" t="s">
        <v>275</v>
      </c>
      <c r="F156" s="13" t="s">
        <v>4</v>
      </c>
      <c r="G156" s="13" t="s">
        <v>16</v>
      </c>
      <c r="H156" s="10">
        <v>0</v>
      </c>
      <c r="I156" s="10">
        <v>0</v>
      </c>
      <c r="J156" s="10">
        <v>0</v>
      </c>
      <c r="K156" s="10">
        <v>0</v>
      </c>
      <c r="L156" s="10">
        <f>Table1[[#This Row],[تعداد دانلود]]+Table1[[#This Row],[تعداد تماشا ]]</f>
        <v>0</v>
      </c>
    </row>
    <row r="157" spans="1:12" ht="36" x14ac:dyDescent="0.25">
      <c r="A157" s="12">
        <v>156</v>
      </c>
      <c r="B157" s="12">
        <v>3763</v>
      </c>
      <c r="C157" s="12"/>
      <c r="D157" s="13" t="s">
        <v>284</v>
      </c>
      <c r="E157" s="14" t="s">
        <v>275</v>
      </c>
      <c r="F157" s="13" t="s">
        <v>4</v>
      </c>
      <c r="G157" s="13" t="s">
        <v>16</v>
      </c>
      <c r="H157" s="10">
        <v>1</v>
      </c>
      <c r="I157" s="10">
        <v>0</v>
      </c>
      <c r="J157" s="10">
        <v>0</v>
      </c>
      <c r="K157" s="10">
        <v>0</v>
      </c>
      <c r="L157" s="10">
        <f>Table1[[#This Row],[تعداد دانلود]]+Table1[[#This Row],[تعداد تماشا ]]</f>
        <v>1</v>
      </c>
    </row>
    <row r="158" spans="1:12" x14ac:dyDescent="0.25">
      <c r="A158" s="12">
        <v>157</v>
      </c>
      <c r="B158" s="12">
        <v>5912</v>
      </c>
      <c r="C158" s="12"/>
      <c r="D158" s="13" t="s">
        <v>285</v>
      </c>
      <c r="E158" s="14" t="s">
        <v>276</v>
      </c>
      <c r="F158" s="13" t="s">
        <v>4</v>
      </c>
      <c r="G158" s="13" t="s">
        <v>11</v>
      </c>
      <c r="H158" s="10">
        <v>36</v>
      </c>
      <c r="I158" s="10">
        <v>615</v>
      </c>
      <c r="J158" s="10">
        <v>14</v>
      </c>
      <c r="K158" s="10">
        <v>16500</v>
      </c>
      <c r="L158" s="10">
        <f>Table1[[#This Row],[تعداد دانلود]]+Table1[[#This Row],[تعداد تماشا ]]</f>
        <v>50</v>
      </c>
    </row>
    <row r="159" spans="1:12" x14ac:dyDescent="0.25">
      <c r="A159" s="12">
        <v>158</v>
      </c>
      <c r="B159" s="12">
        <v>5915</v>
      </c>
      <c r="C159" s="12"/>
      <c r="D159" s="13" t="s">
        <v>286</v>
      </c>
      <c r="E159" s="14" t="s">
        <v>276</v>
      </c>
      <c r="F159" s="13" t="s">
        <v>4</v>
      </c>
      <c r="G159" s="13" t="s">
        <v>11</v>
      </c>
      <c r="H159" s="10">
        <v>19</v>
      </c>
      <c r="I159" s="10">
        <v>585</v>
      </c>
      <c r="J159" s="10">
        <v>7</v>
      </c>
      <c r="K159" s="10">
        <v>15000</v>
      </c>
      <c r="L159" s="10">
        <f>Table1[[#This Row],[تعداد دانلود]]+Table1[[#This Row],[تعداد تماشا ]]</f>
        <v>26</v>
      </c>
    </row>
    <row r="160" spans="1:12" x14ac:dyDescent="0.25">
      <c r="A160" s="12">
        <v>159</v>
      </c>
      <c r="B160" s="12">
        <v>5916</v>
      </c>
      <c r="C160" s="12"/>
      <c r="D160" s="13" t="s">
        <v>287</v>
      </c>
      <c r="E160" s="14" t="s">
        <v>276</v>
      </c>
      <c r="F160" s="13" t="s">
        <v>4</v>
      </c>
      <c r="G160" s="13" t="s">
        <v>11</v>
      </c>
      <c r="H160" s="10">
        <v>24</v>
      </c>
      <c r="I160" s="10">
        <v>636</v>
      </c>
      <c r="J160" s="10">
        <v>7</v>
      </c>
      <c r="K160" s="10">
        <v>16500</v>
      </c>
      <c r="L160" s="10">
        <f>Table1[[#This Row],[تعداد دانلود]]+Table1[[#This Row],[تعداد تماشا ]]</f>
        <v>31</v>
      </c>
    </row>
    <row r="161" spans="1:12" x14ac:dyDescent="0.25">
      <c r="A161" s="12">
        <v>160</v>
      </c>
      <c r="B161" s="12">
        <v>5917</v>
      </c>
      <c r="C161" s="12"/>
      <c r="D161" s="13" t="s">
        <v>288</v>
      </c>
      <c r="E161" s="14" t="s">
        <v>276</v>
      </c>
      <c r="F161" s="13" t="s">
        <v>4</v>
      </c>
      <c r="G161" s="13" t="s">
        <v>11</v>
      </c>
      <c r="H161" s="10">
        <v>34</v>
      </c>
      <c r="I161" s="10">
        <v>632</v>
      </c>
      <c r="J161" s="10">
        <v>6</v>
      </c>
      <c r="K161" s="10">
        <v>15000</v>
      </c>
      <c r="L161" s="10">
        <f>Table1[[#This Row],[تعداد دانلود]]+Table1[[#This Row],[تعداد تماشا ]]</f>
        <v>40</v>
      </c>
    </row>
    <row r="162" spans="1:12" x14ac:dyDescent="0.25">
      <c r="A162" s="12">
        <v>161</v>
      </c>
      <c r="B162" s="12">
        <v>5918</v>
      </c>
      <c r="C162" s="12"/>
      <c r="D162" s="13" t="s">
        <v>289</v>
      </c>
      <c r="E162" s="14" t="s">
        <v>276</v>
      </c>
      <c r="F162" s="13" t="s">
        <v>4</v>
      </c>
      <c r="G162" s="13" t="s">
        <v>11</v>
      </c>
      <c r="H162" s="10">
        <v>18</v>
      </c>
      <c r="I162" s="10">
        <v>76</v>
      </c>
      <c r="J162" s="10">
        <v>8</v>
      </c>
      <c r="K162" s="10">
        <v>7500</v>
      </c>
      <c r="L162" s="10">
        <f>Table1[[#This Row],[تعداد دانلود]]+Table1[[#This Row],[تعداد تماشا ]]</f>
        <v>26</v>
      </c>
    </row>
    <row r="163" spans="1:12" ht="36" x14ac:dyDescent="0.25">
      <c r="A163" s="13">
        <v>175</v>
      </c>
      <c r="B163" s="13">
        <v>9466</v>
      </c>
      <c r="C163" s="13">
        <v>1024</v>
      </c>
      <c r="D163" s="13" t="s">
        <v>311</v>
      </c>
      <c r="E163" s="13" t="s">
        <v>312</v>
      </c>
      <c r="F163" s="13" t="s">
        <v>9</v>
      </c>
      <c r="G163" s="13" t="s">
        <v>16</v>
      </c>
      <c r="H163" s="11">
        <v>23</v>
      </c>
      <c r="I163" s="11">
        <v>305</v>
      </c>
      <c r="J163" s="11">
        <v>6</v>
      </c>
      <c r="K163" s="11">
        <v>52000</v>
      </c>
      <c r="L163" s="10">
        <f>Table1[[#This Row],[تعداد دانلود]]+Table1[[#This Row],[تعداد تماشا ]]</f>
        <v>29</v>
      </c>
    </row>
    <row r="164" spans="1:12" ht="36" x14ac:dyDescent="0.25">
      <c r="A164" s="12">
        <v>41</v>
      </c>
      <c r="B164" s="12">
        <v>1117</v>
      </c>
      <c r="C164" s="12"/>
      <c r="D164" s="13" t="s">
        <v>92</v>
      </c>
      <c r="E164" s="14" t="s">
        <v>93</v>
      </c>
      <c r="F164" s="13" t="s">
        <v>9</v>
      </c>
      <c r="G164" s="13" t="s">
        <v>16</v>
      </c>
      <c r="H164" s="10">
        <v>22</v>
      </c>
      <c r="I164" s="10">
        <v>571</v>
      </c>
      <c r="J164" s="10">
        <v>6</v>
      </c>
      <c r="K164" s="10">
        <f>425000+10000+5000+5000</f>
        <v>445000</v>
      </c>
      <c r="L164" s="10">
        <f>Table1[[#This Row],[تعداد دانلود]]+Table1[[#This Row],[تعداد تماشا ]]</f>
        <v>28</v>
      </c>
    </row>
    <row r="165" spans="1:12" ht="36" x14ac:dyDescent="0.25">
      <c r="A165" s="12">
        <v>57</v>
      </c>
      <c r="B165" s="12">
        <v>1621</v>
      </c>
      <c r="C165" s="12"/>
      <c r="D165" s="13" t="s">
        <v>124</v>
      </c>
      <c r="E165" s="14" t="s">
        <v>125</v>
      </c>
      <c r="F165" s="13" t="s">
        <v>9</v>
      </c>
      <c r="G165" s="13" t="s">
        <v>16</v>
      </c>
      <c r="H165" s="10">
        <v>22</v>
      </c>
      <c r="I165" s="10">
        <v>184</v>
      </c>
      <c r="J165" s="10">
        <v>6</v>
      </c>
      <c r="K165" s="10">
        <f>120000+10000+15000</f>
        <v>145000</v>
      </c>
      <c r="L165" s="10">
        <f>Table1[[#This Row],[تعداد دانلود]]+Table1[[#This Row],[تعداد تماشا ]]</f>
        <v>28</v>
      </c>
    </row>
    <row r="166" spans="1:12" ht="36" x14ac:dyDescent="0.25">
      <c r="A166" s="13">
        <v>185</v>
      </c>
      <c r="B166" s="13">
        <v>5319</v>
      </c>
      <c r="C166" s="13">
        <v>64</v>
      </c>
      <c r="D166" s="13" t="s">
        <v>338</v>
      </c>
      <c r="E166" s="13" t="s">
        <v>339</v>
      </c>
      <c r="F166" s="13" t="s">
        <v>5</v>
      </c>
      <c r="G166" s="13" t="s">
        <v>16</v>
      </c>
      <c r="H166" s="11">
        <v>22</v>
      </c>
      <c r="I166" s="11">
        <v>143</v>
      </c>
      <c r="J166" s="11">
        <v>6</v>
      </c>
      <c r="K166" s="11">
        <v>33500</v>
      </c>
      <c r="L166" s="10">
        <f>Table1[[#This Row],[تعداد دانلود]]+Table1[[#This Row],[تعداد تماشا ]]</f>
        <v>28</v>
      </c>
    </row>
    <row r="167" spans="1:12" ht="36" x14ac:dyDescent="0.25">
      <c r="A167" s="13">
        <v>199</v>
      </c>
      <c r="B167" s="13">
        <v>9435</v>
      </c>
      <c r="C167" s="13">
        <v>1017</v>
      </c>
      <c r="D167" s="13" t="s">
        <v>354</v>
      </c>
      <c r="E167" s="13" t="s">
        <v>355</v>
      </c>
      <c r="F167" s="13" t="s">
        <v>5</v>
      </c>
      <c r="G167" s="13" t="s">
        <v>16</v>
      </c>
      <c r="H167" s="11">
        <v>18</v>
      </c>
      <c r="I167" s="11">
        <v>21</v>
      </c>
      <c r="J167" s="11">
        <v>9</v>
      </c>
      <c r="K167" s="11">
        <v>49000</v>
      </c>
      <c r="L167" s="10">
        <f>Table1[[#This Row],[تعداد دانلود]]+Table1[[#This Row],[تعداد تماشا ]]</f>
        <v>27</v>
      </c>
    </row>
    <row r="168" spans="1:12" ht="36" x14ac:dyDescent="0.25">
      <c r="A168" s="12">
        <v>14</v>
      </c>
      <c r="B168" s="12">
        <v>3352</v>
      </c>
      <c r="C168" s="12"/>
      <c r="D168" s="13" t="s">
        <v>39</v>
      </c>
      <c r="E168" s="14" t="s">
        <v>40</v>
      </c>
      <c r="F168" s="13" t="s">
        <v>9</v>
      </c>
      <c r="G168" s="13" t="s">
        <v>16</v>
      </c>
      <c r="H168" s="10">
        <v>5</v>
      </c>
      <c r="I168" s="10">
        <v>2</v>
      </c>
      <c r="J168" s="10">
        <v>22</v>
      </c>
      <c r="K168" s="10">
        <f>12000+9000</f>
        <v>21000</v>
      </c>
      <c r="L168" s="10">
        <f>Table1[[#This Row],[تعداد دانلود]]+Table1[[#This Row],[تعداد تماشا ]]</f>
        <v>27</v>
      </c>
    </row>
    <row r="169" spans="1:12" ht="36" x14ac:dyDescent="0.25">
      <c r="A169" s="12">
        <v>65</v>
      </c>
      <c r="B169" s="12">
        <v>1822</v>
      </c>
      <c r="C169" s="12"/>
      <c r="D169" s="13" t="s">
        <v>140</v>
      </c>
      <c r="E169" s="14" t="s">
        <v>141</v>
      </c>
      <c r="F169" s="13" t="s">
        <v>9</v>
      </c>
      <c r="G169" s="13" t="s">
        <v>16</v>
      </c>
      <c r="H169" s="10">
        <v>18</v>
      </c>
      <c r="I169" s="10">
        <v>127</v>
      </c>
      <c r="J169" s="10">
        <v>8</v>
      </c>
      <c r="K169" s="10">
        <f>6000+30000+12000+129000</f>
        <v>177000</v>
      </c>
      <c r="L169" s="10">
        <f>Table1[[#This Row],[تعداد دانلود]]+Table1[[#This Row],[تعداد تماشا ]]</f>
        <v>26</v>
      </c>
    </row>
    <row r="170" spans="1:12" ht="36" x14ac:dyDescent="0.25">
      <c r="A170" s="12">
        <v>58</v>
      </c>
      <c r="B170" s="12">
        <v>1579</v>
      </c>
      <c r="C170" s="12"/>
      <c r="D170" s="13" t="s">
        <v>126</v>
      </c>
      <c r="E170" s="14" t="s">
        <v>127</v>
      </c>
      <c r="F170" s="13" t="s">
        <v>9</v>
      </c>
      <c r="G170" s="13" t="s">
        <v>16</v>
      </c>
      <c r="H170" s="10">
        <v>22</v>
      </c>
      <c r="I170" s="10">
        <v>88</v>
      </c>
      <c r="J170" s="10">
        <v>4</v>
      </c>
      <c r="K170" s="10">
        <f>3000+15000+124500</f>
        <v>142500</v>
      </c>
      <c r="L170" s="10">
        <f>Table1[[#This Row],[تعداد دانلود]]+Table1[[#This Row],[تعداد تماشا ]]</f>
        <v>26</v>
      </c>
    </row>
    <row r="171" spans="1:12" ht="36" x14ac:dyDescent="0.25">
      <c r="A171" s="12">
        <v>130</v>
      </c>
      <c r="B171" s="12">
        <v>2134</v>
      </c>
      <c r="C171" s="12"/>
      <c r="D171" s="13" t="s">
        <v>241</v>
      </c>
      <c r="E171" s="14" t="s">
        <v>242</v>
      </c>
      <c r="F171" s="13" t="s">
        <v>5</v>
      </c>
      <c r="G171" s="13" t="s">
        <v>16</v>
      </c>
      <c r="H171" s="10">
        <v>19</v>
      </c>
      <c r="I171" s="10">
        <v>149</v>
      </c>
      <c r="J171" s="10">
        <v>7</v>
      </c>
      <c r="K171" s="10">
        <f>83000+16000</f>
        <v>99000</v>
      </c>
      <c r="L171" s="10">
        <f>Table1[[#This Row],[تعداد دانلود]]+Table1[[#This Row],[تعداد تماشا ]]</f>
        <v>26</v>
      </c>
    </row>
    <row r="172" spans="1:12" ht="36" x14ac:dyDescent="0.25">
      <c r="A172" s="12">
        <v>147</v>
      </c>
      <c r="B172" s="12">
        <v>364</v>
      </c>
      <c r="C172" s="12"/>
      <c r="D172" s="13" t="s">
        <v>271</v>
      </c>
      <c r="E172" s="14" t="s">
        <v>272</v>
      </c>
      <c r="F172" s="13" t="s">
        <v>5</v>
      </c>
      <c r="G172" s="13" t="s">
        <v>16</v>
      </c>
      <c r="H172" s="10">
        <v>6</v>
      </c>
      <c r="I172" s="10">
        <v>119</v>
      </c>
      <c r="J172" s="10">
        <v>20</v>
      </c>
      <c r="K172" s="10">
        <f>33500+13000</f>
        <v>46500</v>
      </c>
      <c r="L172" s="10">
        <f>Table1[[#This Row],[تعداد دانلود]]+Table1[[#This Row],[تعداد تماشا ]]</f>
        <v>26</v>
      </c>
    </row>
    <row r="173" spans="1:12" ht="36" x14ac:dyDescent="0.25">
      <c r="A173" s="12">
        <v>139</v>
      </c>
      <c r="B173" s="12">
        <v>2043</v>
      </c>
      <c r="C173" s="12"/>
      <c r="D173" s="13" t="s">
        <v>255</v>
      </c>
      <c r="E173" s="14" t="s">
        <v>256</v>
      </c>
      <c r="F173" s="13" t="s">
        <v>5</v>
      </c>
      <c r="G173" s="13" t="s">
        <v>16</v>
      </c>
      <c r="H173" s="10">
        <v>11</v>
      </c>
      <c r="I173" s="10">
        <v>12</v>
      </c>
      <c r="J173" s="10">
        <v>11</v>
      </c>
      <c r="K173" s="10">
        <v>59000</v>
      </c>
      <c r="L173" s="10">
        <f>Table1[[#This Row],[تعداد دانلود]]+Table1[[#This Row],[تعداد تماشا ]]</f>
        <v>22</v>
      </c>
    </row>
    <row r="174" spans="1:12" ht="36" x14ac:dyDescent="0.25">
      <c r="A174" s="12">
        <v>121</v>
      </c>
      <c r="B174" s="12">
        <v>3102</v>
      </c>
      <c r="C174" s="12"/>
      <c r="D174" s="13" t="s">
        <v>226</v>
      </c>
      <c r="E174" s="14" t="s">
        <v>227</v>
      </c>
      <c r="F174" s="13" t="s">
        <v>5</v>
      </c>
      <c r="G174" s="13" t="s">
        <v>16</v>
      </c>
      <c r="H174" s="10">
        <v>8</v>
      </c>
      <c r="I174" s="10">
        <v>70</v>
      </c>
      <c r="J174" s="10">
        <v>14</v>
      </c>
      <c r="K174" s="10">
        <f>31500+15000</f>
        <v>46500</v>
      </c>
      <c r="L174" s="10">
        <f>Table1[[#This Row],[تعداد دانلود]]+Table1[[#This Row],[تعداد تماشا ]]</f>
        <v>22</v>
      </c>
    </row>
    <row r="175" spans="1:12" x14ac:dyDescent="0.25">
      <c r="A175" s="12">
        <v>101</v>
      </c>
      <c r="B175" s="12">
        <v>6308</v>
      </c>
      <c r="C175" s="12"/>
      <c r="D175" s="13" t="s">
        <v>188</v>
      </c>
      <c r="E175" s="14" t="s">
        <v>187</v>
      </c>
      <c r="F175" s="13" t="s">
        <v>5</v>
      </c>
      <c r="G175" s="13" t="s">
        <v>11</v>
      </c>
      <c r="H175" s="10">
        <v>14</v>
      </c>
      <c r="I175" s="10">
        <v>91</v>
      </c>
      <c r="J175" s="10">
        <v>8</v>
      </c>
      <c r="K175" s="10">
        <v>36000</v>
      </c>
      <c r="L175" s="10">
        <f>Table1[[#This Row],[تعداد دانلود]]+Table1[[#This Row],[تعداد تماشا ]]</f>
        <v>22</v>
      </c>
    </row>
    <row r="176" spans="1:12" ht="36" x14ac:dyDescent="0.25">
      <c r="A176" s="12">
        <v>45</v>
      </c>
      <c r="B176" s="12">
        <v>1105</v>
      </c>
      <c r="C176" s="12"/>
      <c r="D176" s="13" t="s">
        <v>100</v>
      </c>
      <c r="E176" s="14" t="s">
        <v>101</v>
      </c>
      <c r="F176" s="13" t="s">
        <v>9</v>
      </c>
      <c r="G176" s="13" t="s">
        <v>16</v>
      </c>
      <c r="H176" s="10">
        <v>10</v>
      </c>
      <c r="I176" s="10">
        <v>172</v>
      </c>
      <c r="J176" s="10">
        <v>11</v>
      </c>
      <c r="K176" s="10">
        <f>380000+25000</f>
        <v>405000</v>
      </c>
      <c r="L176" s="10">
        <f>Table1[[#This Row],[تعداد دانلود]]+Table1[[#This Row],[تعداد تماشا ]]</f>
        <v>21</v>
      </c>
    </row>
    <row r="177" spans="1:12" ht="36" x14ac:dyDescent="0.25">
      <c r="A177" s="12">
        <v>60</v>
      </c>
      <c r="B177" s="12">
        <v>1277</v>
      </c>
      <c r="C177" s="12"/>
      <c r="D177" s="13" t="s">
        <v>130</v>
      </c>
      <c r="E177" s="14" t="s">
        <v>131</v>
      </c>
      <c r="F177" s="13" t="s">
        <v>9</v>
      </c>
      <c r="G177" s="13" t="s">
        <v>16</v>
      </c>
      <c r="H177" s="10">
        <v>8</v>
      </c>
      <c r="I177" s="10">
        <v>8</v>
      </c>
      <c r="J177" s="10">
        <v>13</v>
      </c>
      <c r="K177" s="10">
        <f>20000+4000+232000</f>
        <v>256000</v>
      </c>
      <c r="L177" s="10">
        <f>Table1[[#This Row],[تعداد دانلود]]+Table1[[#This Row],[تعداد تماشا ]]</f>
        <v>21</v>
      </c>
    </row>
    <row r="178" spans="1:12" ht="36" x14ac:dyDescent="0.25">
      <c r="A178" s="12">
        <v>69</v>
      </c>
      <c r="B178" s="12">
        <v>2135</v>
      </c>
      <c r="C178" s="12"/>
      <c r="D178" s="13" t="s">
        <v>148</v>
      </c>
      <c r="E178" s="14" t="s">
        <v>149</v>
      </c>
      <c r="F178" s="13" t="s">
        <v>9</v>
      </c>
      <c r="G178" s="13" t="s">
        <v>16</v>
      </c>
      <c r="H178" s="10">
        <v>10</v>
      </c>
      <c r="I178" s="10">
        <v>145</v>
      </c>
      <c r="J178" s="10">
        <v>11</v>
      </c>
      <c r="K178" s="10">
        <f>63000+15000+48000+12000+12000</f>
        <v>150000</v>
      </c>
      <c r="L178" s="10">
        <f>Table1[[#This Row],[تعداد دانلود]]+Table1[[#This Row],[تعداد تماشا ]]</f>
        <v>21</v>
      </c>
    </row>
    <row r="179" spans="1:12" ht="36" x14ac:dyDescent="0.25">
      <c r="A179" s="12">
        <v>56</v>
      </c>
      <c r="B179" s="12">
        <v>1642</v>
      </c>
      <c r="C179" s="12"/>
      <c r="D179" s="13" t="s">
        <v>122</v>
      </c>
      <c r="E179" s="14" t="s">
        <v>123</v>
      </c>
      <c r="F179" s="13" t="s">
        <v>9</v>
      </c>
      <c r="G179" s="13" t="s">
        <v>16</v>
      </c>
      <c r="H179" s="10">
        <v>14</v>
      </c>
      <c r="I179" s="10">
        <v>187</v>
      </c>
      <c r="J179" s="10">
        <v>7</v>
      </c>
      <c r="K179" s="10">
        <f>3000+9000+12000+85500</f>
        <v>109500</v>
      </c>
      <c r="L179" s="10">
        <f>Table1[[#This Row],[تعداد دانلود]]+Table1[[#This Row],[تعداد تماشا ]]</f>
        <v>21</v>
      </c>
    </row>
    <row r="180" spans="1:12" ht="36" x14ac:dyDescent="0.25">
      <c r="A180" s="13">
        <v>179</v>
      </c>
      <c r="B180" s="13">
        <v>8545</v>
      </c>
      <c r="C180" s="13">
        <v>71</v>
      </c>
      <c r="D180" s="13" t="s">
        <v>328</v>
      </c>
      <c r="E180" s="13" t="s">
        <v>327</v>
      </c>
      <c r="F180" s="13" t="s">
        <v>331</v>
      </c>
      <c r="G180" s="13" t="s">
        <v>16</v>
      </c>
      <c r="H180" s="11">
        <v>17</v>
      </c>
      <c r="I180" s="11">
        <v>24</v>
      </c>
      <c r="J180" s="11">
        <v>9</v>
      </c>
      <c r="K180" s="11">
        <v>29000</v>
      </c>
      <c r="L180" s="10">
        <f>Table1[[#This Row],[تعداد دانلود]]+Table1[[#This Row],[تعداد تماشا ]]</f>
        <v>26</v>
      </c>
    </row>
    <row r="181" spans="1:12" ht="36" x14ac:dyDescent="0.25">
      <c r="A181" s="13">
        <v>180</v>
      </c>
      <c r="B181" s="13">
        <v>8546</v>
      </c>
      <c r="C181" s="13">
        <v>77</v>
      </c>
      <c r="D181" s="13" t="s">
        <v>329</v>
      </c>
      <c r="E181" s="13" t="s">
        <v>327</v>
      </c>
      <c r="F181" s="13" t="s">
        <v>331</v>
      </c>
      <c r="G181" s="13" t="s">
        <v>16</v>
      </c>
      <c r="H181" s="11">
        <v>1</v>
      </c>
      <c r="I181" s="11">
        <v>0</v>
      </c>
      <c r="J181" s="11">
        <v>7</v>
      </c>
      <c r="K181" s="11">
        <v>25000</v>
      </c>
      <c r="L181" s="10">
        <f>Table1[[#This Row],[تعداد دانلود]]+Table1[[#This Row],[تعداد تماشا ]]</f>
        <v>8</v>
      </c>
    </row>
    <row r="182" spans="1:12" ht="36" x14ac:dyDescent="0.25">
      <c r="A182" s="13">
        <v>181</v>
      </c>
      <c r="B182" s="13">
        <v>8547</v>
      </c>
      <c r="C182" s="13">
        <v>79</v>
      </c>
      <c r="D182" s="13" t="s">
        <v>330</v>
      </c>
      <c r="E182" s="13" t="s">
        <v>327</v>
      </c>
      <c r="F182" s="13" t="s">
        <v>331</v>
      </c>
      <c r="G182" s="13" t="s">
        <v>16</v>
      </c>
      <c r="H182" s="11">
        <v>2</v>
      </c>
      <c r="I182" s="11">
        <v>0</v>
      </c>
      <c r="J182" s="11">
        <v>7</v>
      </c>
      <c r="K182" s="11">
        <v>25000</v>
      </c>
      <c r="L182" s="10">
        <f>Table1[[#This Row],[تعداد دانلود]]+Table1[[#This Row],[تعداد تماشا ]]</f>
        <v>9</v>
      </c>
    </row>
    <row r="183" spans="1:12" ht="36" x14ac:dyDescent="0.25">
      <c r="A183" s="12">
        <v>123</v>
      </c>
      <c r="B183" s="12">
        <v>3195</v>
      </c>
      <c r="C183" s="12"/>
      <c r="D183" s="13" t="s">
        <v>230</v>
      </c>
      <c r="E183" s="14" t="s">
        <v>231</v>
      </c>
      <c r="F183" s="13" t="s">
        <v>5</v>
      </c>
      <c r="G183" s="13" t="s">
        <v>16</v>
      </c>
      <c r="H183" s="10">
        <v>12</v>
      </c>
      <c r="I183" s="10">
        <v>211</v>
      </c>
      <c r="J183" s="10">
        <v>9</v>
      </c>
      <c r="K183" s="10">
        <f>26250+6000+7500+1500</f>
        <v>41250</v>
      </c>
      <c r="L183" s="10">
        <f>Table1[[#This Row],[تعداد دانلود]]+Table1[[#This Row],[تعداد تماشا ]]</f>
        <v>21</v>
      </c>
    </row>
    <row r="184" spans="1:12" ht="36" x14ac:dyDescent="0.25">
      <c r="A184" s="12">
        <v>66</v>
      </c>
      <c r="B184" s="12">
        <v>1839</v>
      </c>
      <c r="C184" s="12"/>
      <c r="D184" s="13" t="s">
        <v>142</v>
      </c>
      <c r="E184" s="14" t="s">
        <v>143</v>
      </c>
      <c r="F184" s="13" t="s">
        <v>9</v>
      </c>
      <c r="G184" s="13" t="s">
        <v>16</v>
      </c>
      <c r="H184" s="10">
        <v>18</v>
      </c>
      <c r="I184" s="10">
        <v>169</v>
      </c>
      <c r="J184" s="10">
        <v>2</v>
      </c>
      <c r="K184" s="10">
        <f>5000+5000+135000</f>
        <v>145000</v>
      </c>
      <c r="L184" s="10">
        <f>Table1[[#This Row],[تعداد دانلود]]+Table1[[#This Row],[تعداد تماشا ]]</f>
        <v>20</v>
      </c>
    </row>
    <row r="185" spans="1:12" ht="36" x14ac:dyDescent="0.25">
      <c r="A185" s="12">
        <v>49</v>
      </c>
      <c r="B185" s="12">
        <v>1200</v>
      </c>
      <c r="C185" s="12"/>
      <c r="D185" s="13" t="s">
        <v>108</v>
      </c>
      <c r="E185" s="14" t="s">
        <v>109</v>
      </c>
      <c r="F185" s="13" t="s">
        <v>9</v>
      </c>
      <c r="G185" s="13" t="s">
        <v>16</v>
      </c>
      <c r="H185" s="10">
        <v>9</v>
      </c>
      <c r="I185" s="10">
        <v>102</v>
      </c>
      <c r="J185" s="10">
        <v>10</v>
      </c>
      <c r="K185" s="10">
        <f>220500+7000+6000+12000</f>
        <v>245500</v>
      </c>
      <c r="L185" s="10">
        <f>Table1[[#This Row],[تعداد دانلود]]+Table1[[#This Row],[تعداد تماشا ]]</f>
        <v>19</v>
      </c>
    </row>
    <row r="186" spans="1:12" ht="36" x14ac:dyDescent="0.25">
      <c r="A186" s="12">
        <v>48</v>
      </c>
      <c r="B186" s="12">
        <v>1157</v>
      </c>
      <c r="C186" s="12"/>
      <c r="D186" s="13" t="s">
        <v>106</v>
      </c>
      <c r="E186" s="14" t="s">
        <v>107</v>
      </c>
      <c r="F186" s="13" t="s">
        <v>9</v>
      </c>
      <c r="G186" s="13" t="s">
        <v>16</v>
      </c>
      <c r="H186" s="10">
        <v>14</v>
      </c>
      <c r="I186" s="10">
        <v>26</v>
      </c>
      <c r="J186" s="10">
        <v>5</v>
      </c>
      <c r="K186" s="10">
        <f>10000+217500</f>
        <v>227500</v>
      </c>
      <c r="L186" s="10">
        <f>Table1[[#This Row],[تعداد دانلود]]+Table1[[#This Row],[تعداد تماشا ]]</f>
        <v>19</v>
      </c>
    </row>
    <row r="187" spans="1:12" ht="36" x14ac:dyDescent="0.25">
      <c r="A187" s="12">
        <v>63</v>
      </c>
      <c r="B187" s="12">
        <v>1770</v>
      </c>
      <c r="C187" s="12"/>
      <c r="D187" s="13" t="s">
        <v>136</v>
      </c>
      <c r="E187" s="14" t="s">
        <v>137</v>
      </c>
      <c r="F187" s="13" t="s">
        <v>9</v>
      </c>
      <c r="G187" s="13" t="s">
        <v>16</v>
      </c>
      <c r="H187" s="10">
        <v>15</v>
      </c>
      <c r="I187" s="10">
        <v>20</v>
      </c>
      <c r="J187" s="10">
        <v>3</v>
      </c>
      <c r="K187" s="10">
        <f>135000+10000+10000</f>
        <v>155000</v>
      </c>
      <c r="L187" s="10">
        <f>Table1[[#This Row],[تعداد دانلود]]+Table1[[#This Row],[تعداد تماشا ]]</f>
        <v>18</v>
      </c>
    </row>
    <row r="188" spans="1:12" ht="54" x14ac:dyDescent="0.25">
      <c r="A188" s="13">
        <v>191</v>
      </c>
      <c r="B188" s="13">
        <v>8530</v>
      </c>
      <c r="C188" s="13">
        <v>140</v>
      </c>
      <c r="D188" s="13" t="s">
        <v>342</v>
      </c>
      <c r="E188" s="13" t="s">
        <v>347</v>
      </c>
      <c r="F188" s="13" t="s">
        <v>331</v>
      </c>
      <c r="G188" s="13" t="s">
        <v>16</v>
      </c>
      <c r="H188" s="11">
        <v>68</v>
      </c>
      <c r="I188" s="11">
        <v>363</v>
      </c>
      <c r="J188" s="11">
        <v>59</v>
      </c>
      <c r="K188" s="11" t="s">
        <v>805</v>
      </c>
      <c r="L188" s="10">
        <f>Table1[[#This Row],[تعداد دانلود]]+Table1[[#This Row],[تعداد تماشا ]]</f>
        <v>127</v>
      </c>
    </row>
    <row r="189" spans="1:12" ht="54" x14ac:dyDescent="0.25">
      <c r="A189" s="13">
        <v>192</v>
      </c>
      <c r="B189" s="13">
        <v>8531</v>
      </c>
      <c r="C189" s="13">
        <v>142</v>
      </c>
      <c r="D189" s="13" t="s">
        <v>343</v>
      </c>
      <c r="E189" s="13" t="s">
        <v>347</v>
      </c>
      <c r="F189" s="13" t="s">
        <v>331</v>
      </c>
      <c r="G189" s="13" t="s">
        <v>16</v>
      </c>
      <c r="H189" s="11">
        <v>5</v>
      </c>
      <c r="I189" s="11">
        <v>13</v>
      </c>
      <c r="J189" s="11">
        <v>31</v>
      </c>
      <c r="K189" s="11" t="s">
        <v>805</v>
      </c>
      <c r="L189" s="10">
        <f>Table1[[#This Row],[تعداد دانلود]]+Table1[[#This Row],[تعداد تماشا ]]</f>
        <v>36</v>
      </c>
    </row>
    <row r="190" spans="1:12" ht="54" x14ac:dyDescent="0.25">
      <c r="A190" s="13">
        <v>193</v>
      </c>
      <c r="B190" s="13">
        <v>8532</v>
      </c>
      <c r="C190" s="13"/>
      <c r="D190" s="13" t="s">
        <v>344</v>
      </c>
      <c r="E190" s="13" t="s">
        <v>347</v>
      </c>
      <c r="F190" s="13" t="s">
        <v>331</v>
      </c>
      <c r="G190" s="13" t="s">
        <v>16</v>
      </c>
      <c r="H190" s="11">
        <v>1</v>
      </c>
      <c r="I190" s="11">
        <v>1</v>
      </c>
      <c r="J190" s="11">
        <v>25</v>
      </c>
      <c r="K190" s="11">
        <v>0</v>
      </c>
      <c r="L190" s="10">
        <f>Table1[[#This Row],[تعداد دانلود]]+Table1[[#This Row],[تعداد تماشا ]]</f>
        <v>26</v>
      </c>
    </row>
    <row r="191" spans="1:12" ht="54" x14ac:dyDescent="0.25">
      <c r="A191" s="13">
        <v>194</v>
      </c>
      <c r="B191" s="13">
        <v>8533</v>
      </c>
      <c r="C191" s="13"/>
      <c r="D191" s="13" t="s">
        <v>345</v>
      </c>
      <c r="E191" s="13" t="s">
        <v>347</v>
      </c>
      <c r="F191" s="13" t="s">
        <v>331</v>
      </c>
      <c r="G191" s="13" t="s">
        <v>16</v>
      </c>
      <c r="H191" s="11">
        <v>3</v>
      </c>
      <c r="I191" s="11">
        <v>10</v>
      </c>
      <c r="J191" s="11">
        <v>23</v>
      </c>
      <c r="K191" s="11">
        <v>0</v>
      </c>
      <c r="L191" s="10">
        <f>Table1[[#This Row],[تعداد دانلود]]+Table1[[#This Row],[تعداد تماشا ]]</f>
        <v>26</v>
      </c>
    </row>
    <row r="192" spans="1:12" ht="54" x14ac:dyDescent="0.25">
      <c r="A192" s="13">
        <v>195</v>
      </c>
      <c r="B192" s="13">
        <v>8534</v>
      </c>
      <c r="C192" s="13"/>
      <c r="D192" s="13" t="s">
        <v>346</v>
      </c>
      <c r="E192" s="13" t="s">
        <v>347</v>
      </c>
      <c r="F192" s="13" t="s">
        <v>331</v>
      </c>
      <c r="G192" s="13" t="s">
        <v>16</v>
      </c>
      <c r="H192" s="11">
        <v>7</v>
      </c>
      <c r="I192" s="11">
        <v>19</v>
      </c>
      <c r="J192" s="11">
        <v>21</v>
      </c>
      <c r="K192" s="11">
        <v>0</v>
      </c>
      <c r="L192" s="10">
        <f>Table1[[#This Row],[تعداد دانلود]]+Table1[[#This Row],[تعداد تماشا ]]</f>
        <v>28</v>
      </c>
    </row>
    <row r="193" spans="1:12" ht="36" x14ac:dyDescent="0.25">
      <c r="A193" s="12">
        <v>144</v>
      </c>
      <c r="B193" s="12">
        <v>891</v>
      </c>
      <c r="C193" s="12"/>
      <c r="D193" s="13" t="s">
        <v>265</v>
      </c>
      <c r="E193" s="14" t="s">
        <v>266</v>
      </c>
      <c r="F193" s="13" t="s">
        <v>5</v>
      </c>
      <c r="G193" s="13" t="s">
        <v>16</v>
      </c>
      <c r="H193" s="10">
        <v>6</v>
      </c>
      <c r="I193" s="10">
        <v>6</v>
      </c>
      <c r="J193" s="10">
        <v>12</v>
      </c>
      <c r="K193" s="10">
        <f>13500+3000+93750</f>
        <v>110250</v>
      </c>
      <c r="L193" s="10">
        <f>Table1[[#This Row],[تعداد دانلود]]+Table1[[#This Row],[تعداد تماشا ]]</f>
        <v>18</v>
      </c>
    </row>
    <row r="194" spans="1:12" ht="36" x14ac:dyDescent="0.25">
      <c r="A194" s="13">
        <v>200</v>
      </c>
      <c r="B194" s="13">
        <v>9312</v>
      </c>
      <c r="C194" s="13">
        <v>840</v>
      </c>
      <c r="D194" s="13" t="s">
        <v>356</v>
      </c>
      <c r="E194" s="13" t="s">
        <v>357</v>
      </c>
      <c r="F194" s="13" t="s">
        <v>5</v>
      </c>
      <c r="G194" s="13" t="s">
        <v>16</v>
      </c>
      <c r="H194" s="11">
        <v>16</v>
      </c>
      <c r="I194" s="11">
        <v>162</v>
      </c>
      <c r="J194" s="11">
        <v>1</v>
      </c>
      <c r="K194" s="11">
        <v>16500</v>
      </c>
      <c r="L194" s="10">
        <f>Table1[[#This Row],[تعداد دانلود]]+Table1[[#This Row],[تعداد تماشا ]]</f>
        <v>17</v>
      </c>
    </row>
    <row r="195" spans="1:12" ht="36" x14ac:dyDescent="0.25">
      <c r="A195" s="12">
        <v>138</v>
      </c>
      <c r="B195" s="12">
        <v>2010</v>
      </c>
      <c r="C195" s="12"/>
      <c r="D195" s="13" t="s">
        <v>253</v>
      </c>
      <c r="E195" s="14" t="s">
        <v>254</v>
      </c>
      <c r="F195" s="13" t="s">
        <v>5</v>
      </c>
      <c r="G195" s="13" t="s">
        <v>16</v>
      </c>
      <c r="H195" s="10">
        <v>9</v>
      </c>
      <c r="I195" s="10">
        <v>4</v>
      </c>
      <c r="J195" s="10">
        <v>6</v>
      </c>
      <c r="K195" s="10">
        <f>156000+12000</f>
        <v>168000</v>
      </c>
      <c r="L195" s="10">
        <f>Table1[[#This Row],[تعداد دانلود]]+Table1[[#This Row],[تعداد تماشا ]]</f>
        <v>15</v>
      </c>
    </row>
    <row r="196" spans="1:12" ht="36" x14ac:dyDescent="0.25">
      <c r="A196" s="12">
        <v>118</v>
      </c>
      <c r="B196" s="12">
        <v>3015</v>
      </c>
      <c r="C196" s="12"/>
      <c r="D196" s="13" t="s">
        <v>220</v>
      </c>
      <c r="E196" s="14" t="s">
        <v>221</v>
      </c>
      <c r="F196" s="13" t="s">
        <v>5</v>
      </c>
      <c r="G196" s="13" t="s">
        <v>16</v>
      </c>
      <c r="H196" s="10">
        <v>6</v>
      </c>
      <c r="I196" s="10">
        <v>3</v>
      </c>
      <c r="J196" s="10">
        <v>9</v>
      </c>
      <c r="K196" s="10">
        <f>15000+18750</f>
        <v>33750</v>
      </c>
      <c r="L196" s="10">
        <f>Table1[[#This Row],[تعداد دانلود]]+Table1[[#This Row],[تعداد تماشا ]]</f>
        <v>15</v>
      </c>
    </row>
    <row r="197" spans="1:12" ht="36" x14ac:dyDescent="0.25">
      <c r="A197" s="12">
        <v>112</v>
      </c>
      <c r="B197" s="12">
        <v>4101</v>
      </c>
      <c r="C197" s="12"/>
      <c r="D197" s="13" t="s">
        <v>202</v>
      </c>
      <c r="E197" s="14" t="s">
        <v>203</v>
      </c>
      <c r="F197" s="13" t="s">
        <v>5</v>
      </c>
      <c r="G197" s="13" t="s">
        <v>16</v>
      </c>
      <c r="H197" s="10">
        <v>9</v>
      </c>
      <c r="I197" s="10">
        <v>111</v>
      </c>
      <c r="J197" s="10">
        <v>5</v>
      </c>
      <c r="K197" s="10">
        <v>30000</v>
      </c>
      <c r="L197" s="10">
        <f>Table1[[#This Row],[تعداد دانلود]]+Table1[[#This Row],[تعداد تماشا ]]</f>
        <v>14</v>
      </c>
    </row>
    <row r="198" spans="1:12" ht="36" x14ac:dyDescent="0.25">
      <c r="A198" s="12">
        <v>122</v>
      </c>
      <c r="B198" s="12">
        <v>3123</v>
      </c>
      <c r="C198" s="12"/>
      <c r="D198" s="13" t="s">
        <v>228</v>
      </c>
      <c r="E198" s="14" t="s">
        <v>229</v>
      </c>
      <c r="F198" s="13" t="s">
        <v>5</v>
      </c>
      <c r="G198" s="13" t="s">
        <v>16</v>
      </c>
      <c r="H198" s="10">
        <v>7</v>
      </c>
      <c r="I198" s="10">
        <v>81</v>
      </c>
      <c r="J198" s="10">
        <v>6</v>
      </c>
      <c r="K198" s="10">
        <f>8000+32000</f>
        <v>40000</v>
      </c>
      <c r="L198" s="10">
        <f>Table1[[#This Row],[تعداد دانلود]]+Table1[[#This Row],[تعداد تماشا ]]</f>
        <v>13</v>
      </c>
    </row>
    <row r="199" spans="1:12" ht="36" x14ac:dyDescent="0.25">
      <c r="A199" s="12">
        <v>46</v>
      </c>
      <c r="B199" s="12">
        <v>1134</v>
      </c>
      <c r="C199" s="12"/>
      <c r="D199" s="13" t="s">
        <v>102</v>
      </c>
      <c r="E199" s="14" t="s">
        <v>103</v>
      </c>
      <c r="F199" s="13" t="s">
        <v>9</v>
      </c>
      <c r="G199" s="13" t="s">
        <v>16</v>
      </c>
      <c r="H199" s="10">
        <v>4</v>
      </c>
      <c r="I199" s="10">
        <v>48</v>
      </c>
      <c r="J199" s="10">
        <v>7</v>
      </c>
      <c r="K199" s="10">
        <f>5000+290000</f>
        <v>295000</v>
      </c>
      <c r="L199" s="10">
        <f>Table1[[#This Row],[تعداد دانلود]]+Table1[[#This Row],[تعداد تماشا ]]</f>
        <v>11</v>
      </c>
    </row>
    <row r="200" spans="1:12" ht="36" x14ac:dyDescent="0.25">
      <c r="A200" s="12">
        <v>43</v>
      </c>
      <c r="B200" s="12">
        <v>1113</v>
      </c>
      <c r="C200" s="12"/>
      <c r="D200" s="13" t="s">
        <v>96</v>
      </c>
      <c r="E200" s="14" t="s">
        <v>97</v>
      </c>
      <c r="F200" s="13" t="s">
        <v>9</v>
      </c>
      <c r="G200" s="13" t="s">
        <v>16</v>
      </c>
      <c r="H200" s="10">
        <v>6</v>
      </c>
      <c r="I200" s="10">
        <v>138</v>
      </c>
      <c r="J200" s="10">
        <v>3</v>
      </c>
      <c r="K200" s="10">
        <f>295000</f>
        <v>295000</v>
      </c>
      <c r="L200" s="10">
        <f>Table1[[#This Row],[تعداد دانلود]]+Table1[[#This Row],[تعداد تماشا ]]</f>
        <v>9</v>
      </c>
    </row>
    <row r="201" spans="1:12" ht="36" x14ac:dyDescent="0.25">
      <c r="A201" s="12">
        <v>18</v>
      </c>
      <c r="B201" s="12">
        <v>3746</v>
      </c>
      <c r="C201" s="12"/>
      <c r="D201" s="13" t="s">
        <v>47</v>
      </c>
      <c r="E201" s="14" t="s">
        <v>48</v>
      </c>
      <c r="F201" s="13" t="s">
        <v>9</v>
      </c>
      <c r="G201" s="13" t="s">
        <v>16</v>
      </c>
      <c r="H201" s="10">
        <v>5</v>
      </c>
      <c r="I201" s="10">
        <v>49</v>
      </c>
      <c r="J201" s="10">
        <v>4</v>
      </c>
      <c r="K201" s="10">
        <f>6000+37500</f>
        <v>43500</v>
      </c>
      <c r="L201" s="10">
        <f>Table1[[#This Row],[تعداد دانلود]]+Table1[[#This Row],[تعداد تماشا ]]</f>
        <v>9</v>
      </c>
    </row>
    <row r="202" spans="1:12" ht="36" x14ac:dyDescent="0.25">
      <c r="A202" s="12">
        <v>25</v>
      </c>
      <c r="B202" s="12">
        <v>3833</v>
      </c>
      <c r="C202" s="12"/>
      <c r="D202" s="13" t="s">
        <v>61</v>
      </c>
      <c r="E202" s="14" t="s">
        <v>60</v>
      </c>
      <c r="F202" s="13" t="s">
        <v>9</v>
      </c>
      <c r="G202" s="13" t="s">
        <v>16</v>
      </c>
      <c r="H202" s="10">
        <v>7</v>
      </c>
      <c r="I202" s="10">
        <v>0</v>
      </c>
      <c r="J202" s="10">
        <v>2</v>
      </c>
      <c r="K202" s="10">
        <f>27000+6000</f>
        <v>33000</v>
      </c>
      <c r="L202" s="10">
        <f>Table1[[#This Row],[تعداد دانلود]]+Table1[[#This Row],[تعداد تماشا ]]</f>
        <v>9</v>
      </c>
    </row>
    <row r="203" spans="1:12" ht="36" x14ac:dyDescent="0.25">
      <c r="A203" s="12">
        <v>67</v>
      </c>
      <c r="B203" s="12">
        <v>1898</v>
      </c>
      <c r="C203" s="12"/>
      <c r="D203" s="13" t="s">
        <v>144</v>
      </c>
      <c r="E203" s="14" t="s">
        <v>145</v>
      </c>
      <c r="F203" s="13" t="s">
        <v>9</v>
      </c>
      <c r="G203" s="13" t="s">
        <v>16</v>
      </c>
      <c r="H203" s="10">
        <v>4</v>
      </c>
      <c r="I203" s="10">
        <v>3</v>
      </c>
      <c r="J203" s="10">
        <v>4</v>
      </c>
      <c r="K203" s="10">
        <f>75000+5000</f>
        <v>80000</v>
      </c>
      <c r="L203" s="10">
        <f>Table1[[#This Row],[تعداد دانلود]]+Table1[[#This Row],[تعداد تماشا ]]</f>
        <v>8</v>
      </c>
    </row>
    <row r="204" spans="1:12" ht="36" x14ac:dyDescent="0.25">
      <c r="A204" s="12">
        <v>115</v>
      </c>
      <c r="B204" s="12">
        <v>3823</v>
      </c>
      <c r="C204" s="12"/>
      <c r="D204" s="13" t="s">
        <v>214</v>
      </c>
      <c r="E204" s="14" t="s">
        <v>215</v>
      </c>
      <c r="F204" s="13" t="s">
        <v>5</v>
      </c>
      <c r="G204" s="13" t="s">
        <v>16</v>
      </c>
      <c r="H204" s="10">
        <v>5</v>
      </c>
      <c r="I204" s="10">
        <v>2</v>
      </c>
      <c r="J204" s="10">
        <v>3</v>
      </c>
      <c r="K204" s="10">
        <v>33000</v>
      </c>
      <c r="L204" s="10">
        <f>Table1[[#This Row],[تعداد دانلود]]+Table1[[#This Row],[تعداد تماشا ]]</f>
        <v>8</v>
      </c>
    </row>
    <row r="205" spans="1:12" ht="36" x14ac:dyDescent="0.25">
      <c r="A205" s="13">
        <v>208</v>
      </c>
      <c r="B205" s="13">
        <v>8982</v>
      </c>
      <c r="C205" s="13">
        <v>829</v>
      </c>
      <c r="D205" s="13" t="s">
        <v>372</v>
      </c>
      <c r="E205" s="13" t="s">
        <v>373</v>
      </c>
      <c r="F205" s="13" t="s">
        <v>374</v>
      </c>
      <c r="G205" s="13" t="s">
        <v>16</v>
      </c>
      <c r="H205" s="11">
        <v>26</v>
      </c>
      <c r="I205" s="11">
        <v>102</v>
      </c>
      <c r="J205" s="11">
        <v>7</v>
      </c>
      <c r="K205" s="11">
        <v>126000</v>
      </c>
      <c r="L205" s="10">
        <f>Table1[[#This Row],[تعداد دانلود]]+Table1[[#This Row],[تعداد تماشا ]]</f>
        <v>33</v>
      </c>
    </row>
    <row r="206" spans="1:12" ht="36" x14ac:dyDescent="0.25">
      <c r="A206" s="13">
        <v>209</v>
      </c>
      <c r="B206" s="13">
        <v>5144</v>
      </c>
      <c r="C206" s="13">
        <v>138</v>
      </c>
      <c r="D206" s="13" t="s">
        <v>375</v>
      </c>
      <c r="E206" s="13" t="s">
        <v>376</v>
      </c>
      <c r="F206" s="13" t="s">
        <v>403</v>
      </c>
      <c r="G206" s="13" t="s">
        <v>16</v>
      </c>
      <c r="H206" s="11">
        <v>202</v>
      </c>
      <c r="I206" s="11">
        <v>1186</v>
      </c>
      <c r="J206" s="11">
        <v>35</v>
      </c>
      <c r="K206" s="11">
        <v>731000</v>
      </c>
      <c r="L206" s="10">
        <f>Table1[[#This Row],[تعداد دانلود]]+Table1[[#This Row],[تعداد تماشا ]]</f>
        <v>237</v>
      </c>
    </row>
    <row r="207" spans="1:12" x14ac:dyDescent="0.25">
      <c r="A207" s="13">
        <v>210</v>
      </c>
      <c r="B207" s="13">
        <v>996</v>
      </c>
      <c r="C207" s="13"/>
      <c r="D207" s="13" t="s">
        <v>377</v>
      </c>
      <c r="E207" s="13" t="s">
        <v>378</v>
      </c>
      <c r="F207" s="13" t="s">
        <v>403</v>
      </c>
      <c r="G207" s="13" t="s">
        <v>379</v>
      </c>
      <c r="H207" s="11">
        <v>82</v>
      </c>
      <c r="I207" s="11">
        <v>277</v>
      </c>
      <c r="J207" s="11">
        <v>18</v>
      </c>
      <c r="K207" s="11">
        <f>24000+12000+12000</f>
        <v>48000</v>
      </c>
      <c r="L207" s="10">
        <f>Table1[[#This Row],[تعداد دانلود]]+Table1[[#This Row],[تعداد تماشا ]]</f>
        <v>100</v>
      </c>
    </row>
    <row r="208" spans="1:12" x14ac:dyDescent="0.25">
      <c r="A208" s="13">
        <v>211</v>
      </c>
      <c r="B208" s="13">
        <v>995</v>
      </c>
      <c r="C208" s="13"/>
      <c r="D208" s="13" t="s">
        <v>380</v>
      </c>
      <c r="E208" s="13" t="s">
        <v>381</v>
      </c>
      <c r="F208" s="13" t="s">
        <v>403</v>
      </c>
      <c r="G208" s="13" t="s">
        <v>379</v>
      </c>
      <c r="H208" s="11">
        <v>48</v>
      </c>
      <c r="I208" s="11">
        <v>69</v>
      </c>
      <c r="J208" s="11">
        <v>14</v>
      </c>
      <c r="K208" s="11">
        <f>23000+11000+4000</f>
        <v>38000</v>
      </c>
      <c r="L208" s="10">
        <f>Table1[[#This Row],[تعداد دانلود]]+Table1[[#This Row],[تعداد تماشا ]]</f>
        <v>62</v>
      </c>
    </row>
    <row r="209" spans="1:12" x14ac:dyDescent="0.25">
      <c r="A209" s="13">
        <v>212</v>
      </c>
      <c r="B209" s="13">
        <v>994</v>
      </c>
      <c r="C209" s="13"/>
      <c r="D209" s="13" t="s">
        <v>382</v>
      </c>
      <c r="E209" s="13" t="s">
        <v>383</v>
      </c>
      <c r="F209" s="13" t="s">
        <v>403</v>
      </c>
      <c r="G209" s="13" t="s">
        <v>379</v>
      </c>
      <c r="H209" s="11">
        <v>63</v>
      </c>
      <c r="I209" s="11">
        <v>209</v>
      </c>
      <c r="J209" s="11">
        <v>18</v>
      </c>
      <c r="K209" s="11">
        <f>24000+9000+13500</f>
        <v>46500</v>
      </c>
      <c r="L209" s="10">
        <f>Table1[[#This Row],[تعداد دانلود]]+Table1[[#This Row],[تعداد تماشا ]]</f>
        <v>81</v>
      </c>
    </row>
    <row r="210" spans="1:12" x14ac:dyDescent="0.25">
      <c r="A210" s="13">
        <v>213</v>
      </c>
      <c r="B210" s="13">
        <v>997</v>
      </c>
      <c r="C210" s="13"/>
      <c r="D210" s="13" t="s">
        <v>384</v>
      </c>
      <c r="E210" s="13" t="s">
        <v>385</v>
      </c>
      <c r="F210" s="13" t="s">
        <v>403</v>
      </c>
      <c r="G210" s="13" t="s">
        <v>379</v>
      </c>
      <c r="H210" s="11">
        <v>48</v>
      </c>
      <c r="I210" s="11">
        <v>82</v>
      </c>
      <c r="J210" s="11">
        <v>9</v>
      </c>
      <c r="K210" s="11">
        <f>12000+7500+1500</f>
        <v>21000</v>
      </c>
      <c r="L210" s="10">
        <f>Table1[[#This Row],[تعداد دانلود]]+Table1[[#This Row],[تعداد تماشا ]]</f>
        <v>57</v>
      </c>
    </row>
    <row r="211" spans="1:12" x14ac:dyDescent="0.25">
      <c r="A211" s="13">
        <v>214</v>
      </c>
      <c r="B211" s="13">
        <v>1016</v>
      </c>
      <c r="C211" s="13"/>
      <c r="D211" s="13" t="s">
        <v>386</v>
      </c>
      <c r="E211" s="13" t="s">
        <v>387</v>
      </c>
      <c r="F211" s="13" t="s">
        <v>403</v>
      </c>
      <c r="G211" s="13" t="s">
        <v>379</v>
      </c>
      <c r="H211" s="11">
        <v>41</v>
      </c>
      <c r="I211" s="11">
        <v>95</v>
      </c>
      <c r="J211" s="11">
        <v>14</v>
      </c>
      <c r="K211" s="11">
        <f>16500+9000+6000</f>
        <v>31500</v>
      </c>
      <c r="L211" s="10">
        <f>Table1[[#This Row],[تعداد دانلود]]+Table1[[#This Row],[تعداد تماشا ]]</f>
        <v>55</v>
      </c>
    </row>
    <row r="212" spans="1:12" x14ac:dyDescent="0.25">
      <c r="A212" s="13">
        <v>215</v>
      </c>
      <c r="B212" s="13">
        <v>1017</v>
      </c>
      <c r="C212" s="13"/>
      <c r="D212" s="13" t="s">
        <v>389</v>
      </c>
      <c r="E212" s="13" t="s">
        <v>388</v>
      </c>
      <c r="F212" s="13" t="s">
        <v>403</v>
      </c>
      <c r="G212" s="13" t="s">
        <v>379</v>
      </c>
      <c r="H212" s="11">
        <v>6</v>
      </c>
      <c r="I212" s="11">
        <v>11</v>
      </c>
      <c r="J212" s="11">
        <v>4</v>
      </c>
      <c r="K212" s="11">
        <v>7000</v>
      </c>
      <c r="L212" s="10">
        <f>Table1[[#This Row],[تعداد دانلود]]+Table1[[#This Row],[تعداد تماشا ]]</f>
        <v>10</v>
      </c>
    </row>
    <row r="213" spans="1:12" x14ac:dyDescent="0.25">
      <c r="A213" s="13">
        <v>216</v>
      </c>
      <c r="B213" s="13">
        <v>1018</v>
      </c>
      <c r="C213" s="13"/>
      <c r="D213" s="13" t="s">
        <v>390</v>
      </c>
      <c r="E213" s="13" t="s">
        <v>391</v>
      </c>
      <c r="F213" s="13" t="s">
        <v>403</v>
      </c>
      <c r="G213" s="13" t="s">
        <v>379</v>
      </c>
      <c r="H213" s="11">
        <v>45</v>
      </c>
      <c r="I213" s="11">
        <v>211</v>
      </c>
      <c r="J213" s="11">
        <v>22</v>
      </c>
      <c r="K213" s="11">
        <f>33000+7500+13500</f>
        <v>54000</v>
      </c>
      <c r="L213" s="10">
        <f>Table1[[#This Row],[تعداد دانلود]]+Table1[[#This Row],[تعداد تماشا ]]</f>
        <v>67</v>
      </c>
    </row>
    <row r="214" spans="1:12" x14ac:dyDescent="0.25">
      <c r="A214" s="13">
        <v>217</v>
      </c>
      <c r="B214" s="13">
        <v>1019</v>
      </c>
      <c r="C214" s="13"/>
      <c r="D214" s="13" t="s">
        <v>393</v>
      </c>
      <c r="E214" s="13" t="s">
        <v>392</v>
      </c>
      <c r="F214" s="13" t="s">
        <v>403</v>
      </c>
      <c r="G214" s="13" t="s">
        <v>379</v>
      </c>
      <c r="H214" s="11">
        <v>16</v>
      </c>
      <c r="I214" s="11">
        <v>20</v>
      </c>
      <c r="J214" s="11">
        <v>11</v>
      </c>
      <c r="K214" s="11">
        <v>15000</v>
      </c>
      <c r="L214" s="10">
        <f>Table1[[#This Row],[تعداد دانلود]]+Table1[[#This Row],[تعداد تماشا ]]</f>
        <v>27</v>
      </c>
    </row>
    <row r="215" spans="1:12" x14ac:dyDescent="0.25">
      <c r="A215" s="13">
        <v>218</v>
      </c>
      <c r="B215" s="13">
        <v>1026</v>
      </c>
      <c r="C215" s="13"/>
      <c r="D215" s="13" t="s">
        <v>394</v>
      </c>
      <c r="E215" s="13" t="s">
        <v>395</v>
      </c>
      <c r="F215" s="13" t="s">
        <v>403</v>
      </c>
      <c r="G215" s="13" t="s">
        <v>379</v>
      </c>
      <c r="H215" s="11">
        <v>159</v>
      </c>
      <c r="I215" s="11">
        <v>301</v>
      </c>
      <c r="J215" s="11">
        <v>39</v>
      </c>
      <c r="K215" s="11">
        <f>54000+22500+34500</f>
        <v>111000</v>
      </c>
      <c r="L215" s="10">
        <f>Table1[[#This Row],[تعداد دانلود]]+Table1[[#This Row],[تعداد تماشا ]]</f>
        <v>198</v>
      </c>
    </row>
    <row r="216" spans="1:12" ht="36" x14ac:dyDescent="0.25">
      <c r="A216" s="13">
        <v>219</v>
      </c>
      <c r="B216" s="13">
        <v>1034</v>
      </c>
      <c r="C216" s="13"/>
      <c r="D216" s="13" t="s">
        <v>396</v>
      </c>
      <c r="E216" s="13" t="s">
        <v>397</v>
      </c>
      <c r="F216" s="13" t="s">
        <v>402</v>
      </c>
      <c r="G216" s="13" t="s">
        <v>16</v>
      </c>
      <c r="H216" s="11">
        <v>140</v>
      </c>
      <c r="I216" s="11">
        <v>742</v>
      </c>
      <c r="J216" s="11">
        <v>35</v>
      </c>
      <c r="K216" s="11">
        <f>38500+35000</f>
        <v>73500</v>
      </c>
      <c r="L216" s="10">
        <f>Table1[[#This Row],[تعداد دانلود]]+Table1[[#This Row],[تعداد تماشا ]]</f>
        <v>175</v>
      </c>
    </row>
    <row r="217" spans="1:12" x14ac:dyDescent="0.25">
      <c r="A217" s="13">
        <v>220</v>
      </c>
      <c r="B217" s="13">
        <v>1233</v>
      </c>
      <c r="C217" s="13"/>
      <c r="D217" s="13" t="s">
        <v>398</v>
      </c>
      <c r="E217" s="13" t="s">
        <v>399</v>
      </c>
      <c r="F217" s="13" t="s">
        <v>403</v>
      </c>
      <c r="G217" s="13" t="s">
        <v>379</v>
      </c>
      <c r="H217" s="11">
        <v>16</v>
      </c>
      <c r="I217" s="11">
        <v>34</v>
      </c>
      <c r="J217" s="11">
        <v>18</v>
      </c>
      <c r="K217" s="11">
        <f>5000+16000</f>
        <v>21000</v>
      </c>
      <c r="L217" s="10">
        <f>Table1[[#This Row],[تعداد دانلود]]+Table1[[#This Row],[تعداد تماشا ]]</f>
        <v>34</v>
      </c>
    </row>
    <row r="218" spans="1:12" x14ac:dyDescent="0.25">
      <c r="A218" s="13">
        <v>221</v>
      </c>
      <c r="B218" s="13">
        <v>1234</v>
      </c>
      <c r="C218" s="13"/>
      <c r="D218" s="13" t="s">
        <v>400</v>
      </c>
      <c r="E218" s="13" t="s">
        <v>401</v>
      </c>
      <c r="F218" s="13" t="s">
        <v>403</v>
      </c>
      <c r="G218" s="13" t="s">
        <v>379</v>
      </c>
      <c r="H218" s="11">
        <v>57</v>
      </c>
      <c r="I218" s="11">
        <v>161</v>
      </c>
      <c r="J218" s="11">
        <v>11</v>
      </c>
      <c r="K218" s="11">
        <f>23000+7000+3000</f>
        <v>33000</v>
      </c>
      <c r="L218" s="10">
        <f>Table1[[#This Row],[تعداد دانلود]]+Table1[[#This Row],[تعداد تماشا ]]</f>
        <v>68</v>
      </c>
    </row>
    <row r="219" spans="1:12" x14ac:dyDescent="0.25">
      <c r="A219" s="13">
        <v>222</v>
      </c>
      <c r="B219" s="13">
        <v>1237</v>
      </c>
      <c r="C219" s="13"/>
      <c r="D219" s="13" t="s">
        <v>405</v>
      </c>
      <c r="E219" s="13" t="s">
        <v>404</v>
      </c>
      <c r="F219" s="13" t="s">
        <v>403</v>
      </c>
      <c r="G219" s="13" t="s">
        <v>379</v>
      </c>
      <c r="H219" s="11">
        <v>83</v>
      </c>
      <c r="I219" s="11">
        <v>252</v>
      </c>
      <c r="J219" s="11">
        <v>19</v>
      </c>
      <c r="K219" s="11">
        <f>25000+17000</f>
        <v>42000</v>
      </c>
      <c r="L219" s="10">
        <f>Table1[[#This Row],[تعداد دانلود]]+Table1[[#This Row],[تعداد تماشا ]]</f>
        <v>102</v>
      </c>
    </row>
    <row r="220" spans="1:12" x14ac:dyDescent="0.25">
      <c r="A220" s="13">
        <v>223</v>
      </c>
      <c r="B220" s="13">
        <v>1278</v>
      </c>
      <c r="C220" s="13"/>
      <c r="D220" s="13" t="s">
        <v>406</v>
      </c>
      <c r="E220" s="13" t="s">
        <v>407</v>
      </c>
      <c r="F220" s="13" t="s">
        <v>403</v>
      </c>
      <c r="G220" s="13" t="s">
        <v>379</v>
      </c>
      <c r="H220" s="11">
        <v>16</v>
      </c>
      <c r="I220" s="11">
        <v>41</v>
      </c>
      <c r="J220" s="11">
        <v>12</v>
      </c>
      <c r="K220" s="11">
        <v>17000</v>
      </c>
      <c r="L220" s="10">
        <f>Table1[[#This Row],[تعداد دانلود]]+Table1[[#This Row],[تعداد تماشا ]]</f>
        <v>28</v>
      </c>
    </row>
    <row r="221" spans="1:12" ht="36" x14ac:dyDescent="0.25">
      <c r="A221" s="13">
        <v>224</v>
      </c>
      <c r="B221" s="13">
        <v>2025</v>
      </c>
      <c r="C221" s="13"/>
      <c r="D221" s="13" t="s">
        <v>408</v>
      </c>
      <c r="E221" s="13" t="s">
        <v>409</v>
      </c>
      <c r="F221" s="13" t="s">
        <v>402</v>
      </c>
      <c r="G221" s="13" t="s">
        <v>379</v>
      </c>
      <c r="H221" s="11">
        <v>131</v>
      </c>
      <c r="I221" s="11">
        <v>901</v>
      </c>
      <c r="J221" s="11">
        <v>59</v>
      </c>
      <c r="K221" s="11">
        <f>12000+46000+24000</f>
        <v>82000</v>
      </c>
      <c r="L221" s="10">
        <f>Table1[[#This Row],[تعداد دانلود]]+Table1[[#This Row],[تعداد تماشا ]]</f>
        <v>190</v>
      </c>
    </row>
    <row r="222" spans="1:12" ht="36" x14ac:dyDescent="0.25">
      <c r="A222" s="13">
        <v>225</v>
      </c>
      <c r="B222" s="13">
        <v>2071</v>
      </c>
      <c r="C222" s="13"/>
      <c r="D222" s="13" t="s">
        <v>780</v>
      </c>
      <c r="E222" s="13" t="s">
        <v>410</v>
      </c>
      <c r="F222" s="13" t="s">
        <v>411</v>
      </c>
      <c r="G222" s="13" t="s">
        <v>379</v>
      </c>
      <c r="H222" s="11">
        <v>1677</v>
      </c>
      <c r="I222" s="11">
        <v>7001</v>
      </c>
      <c r="J222" s="11">
        <v>230</v>
      </c>
      <c r="K222" s="11">
        <f>0</f>
        <v>0</v>
      </c>
      <c r="L222" s="10">
        <f>Table1[[#This Row],[تعداد دانلود]]+Table1[[#This Row],[تعداد تماشا ]]</f>
        <v>1907</v>
      </c>
    </row>
    <row r="223" spans="1:12" x14ac:dyDescent="0.25">
      <c r="A223" s="13">
        <v>226</v>
      </c>
      <c r="B223" s="13">
        <v>2163</v>
      </c>
      <c r="C223" s="13"/>
      <c r="D223" s="13" t="s">
        <v>412</v>
      </c>
      <c r="E223" s="13" t="s">
        <v>413</v>
      </c>
      <c r="F223" s="13" t="s">
        <v>403</v>
      </c>
      <c r="G223" s="13" t="s">
        <v>379</v>
      </c>
      <c r="H223" s="11">
        <v>29</v>
      </c>
      <c r="I223" s="11">
        <v>72</v>
      </c>
      <c r="J223" s="11">
        <v>8</v>
      </c>
      <c r="K223" s="11">
        <f>16500+4500+1500</f>
        <v>22500</v>
      </c>
      <c r="L223" s="10">
        <f>Table1[[#This Row],[تعداد دانلود]]+Table1[[#This Row],[تعداد تماشا ]]</f>
        <v>37</v>
      </c>
    </row>
    <row r="224" spans="1:12" x14ac:dyDescent="0.25">
      <c r="A224" s="13">
        <v>227</v>
      </c>
      <c r="B224" s="13">
        <v>2206</v>
      </c>
      <c r="C224" s="13"/>
      <c r="D224" s="13" t="s">
        <v>415</v>
      </c>
      <c r="E224" s="13" t="s">
        <v>414</v>
      </c>
      <c r="F224" s="13" t="s">
        <v>411</v>
      </c>
      <c r="G224" s="13" t="s">
        <v>379</v>
      </c>
      <c r="H224" s="11">
        <v>188</v>
      </c>
      <c r="I224" s="11">
        <v>335</v>
      </c>
      <c r="J224" s="11">
        <v>50</v>
      </c>
      <c r="K224" s="11">
        <v>0</v>
      </c>
      <c r="L224" s="10">
        <f>Table1[[#This Row],[تعداد دانلود]]+Table1[[#This Row],[تعداد تماشا ]]</f>
        <v>238</v>
      </c>
    </row>
    <row r="225" spans="1:12" x14ac:dyDescent="0.25">
      <c r="A225" s="13">
        <v>228</v>
      </c>
      <c r="B225" s="13">
        <v>3804</v>
      </c>
      <c r="C225" s="13"/>
      <c r="D225" s="13" t="s">
        <v>758</v>
      </c>
      <c r="E225" s="13" t="s">
        <v>416</v>
      </c>
      <c r="F225" s="13" t="s">
        <v>411</v>
      </c>
      <c r="G225" s="13" t="s">
        <v>11</v>
      </c>
      <c r="H225" s="11">
        <v>311</v>
      </c>
      <c r="I225" s="11">
        <v>2386</v>
      </c>
      <c r="J225" s="11">
        <v>53</v>
      </c>
      <c r="K225" s="11">
        <f>105000+45000+12000</f>
        <v>162000</v>
      </c>
      <c r="L225" s="10">
        <f>Table1[[#This Row],[تعداد دانلود]]+Table1[[#This Row],[تعداد تماشا ]]</f>
        <v>364</v>
      </c>
    </row>
    <row r="226" spans="1:12" x14ac:dyDescent="0.25">
      <c r="A226" s="13"/>
      <c r="B226" s="13">
        <v>3809</v>
      </c>
      <c r="C226" s="13"/>
      <c r="D226" s="13" t="s">
        <v>759</v>
      </c>
      <c r="E226" s="13" t="s">
        <v>416</v>
      </c>
      <c r="F226" s="13" t="s">
        <v>411</v>
      </c>
      <c r="G226" s="13" t="s">
        <v>11</v>
      </c>
      <c r="H226" s="11">
        <v>87</v>
      </c>
      <c r="I226" s="11">
        <v>903</v>
      </c>
      <c r="J226" s="11">
        <v>18</v>
      </c>
      <c r="K226" s="11">
        <f>54000+10500+9000</f>
        <v>73500</v>
      </c>
      <c r="L226" s="10">
        <f>Table1[[#This Row],[تعداد دانلود]]+Table1[[#This Row],[تعداد تماشا ]]</f>
        <v>105</v>
      </c>
    </row>
    <row r="227" spans="1:12" x14ac:dyDescent="0.25">
      <c r="A227" s="13"/>
      <c r="B227" s="13">
        <v>3811</v>
      </c>
      <c r="C227" s="13"/>
      <c r="D227" s="13" t="s">
        <v>760</v>
      </c>
      <c r="E227" s="13" t="s">
        <v>416</v>
      </c>
      <c r="F227" s="13" t="s">
        <v>411</v>
      </c>
      <c r="G227" s="13" t="s">
        <v>11</v>
      </c>
      <c r="H227" s="11">
        <v>61</v>
      </c>
      <c r="I227" s="11">
        <v>497</v>
      </c>
      <c r="J227" s="11">
        <v>8</v>
      </c>
      <c r="K227" s="11">
        <f>37500+4500+7500</f>
        <v>49500</v>
      </c>
      <c r="L227" s="10">
        <f>Table1[[#This Row],[تعداد دانلود]]+Table1[[#This Row],[تعداد تماشا ]]</f>
        <v>69</v>
      </c>
    </row>
    <row r="228" spans="1:12" x14ac:dyDescent="0.25">
      <c r="A228" s="13"/>
      <c r="B228" s="13">
        <v>3806</v>
      </c>
      <c r="C228" s="13"/>
      <c r="D228" s="13" t="s">
        <v>761</v>
      </c>
      <c r="E228" s="13" t="s">
        <v>416</v>
      </c>
      <c r="F228" s="13" t="s">
        <v>411</v>
      </c>
      <c r="G228" s="13" t="s">
        <v>11</v>
      </c>
      <c r="H228" s="11">
        <v>49</v>
      </c>
      <c r="I228" s="11">
        <v>561</v>
      </c>
      <c r="J228" s="11">
        <v>7</v>
      </c>
      <c r="K228" s="11">
        <f>33000+4500+4500</f>
        <v>42000</v>
      </c>
      <c r="L228" s="10">
        <f>Table1[[#This Row],[تعداد دانلود]]+Table1[[#This Row],[تعداد تماشا ]]</f>
        <v>56</v>
      </c>
    </row>
    <row r="229" spans="1:12" x14ac:dyDescent="0.25">
      <c r="A229" s="13"/>
      <c r="B229" s="13">
        <v>3807</v>
      </c>
      <c r="C229" s="13"/>
      <c r="D229" s="13" t="s">
        <v>762</v>
      </c>
      <c r="E229" s="13" t="s">
        <v>416</v>
      </c>
      <c r="F229" s="13" t="s">
        <v>411</v>
      </c>
      <c r="G229" s="13" t="s">
        <v>11</v>
      </c>
      <c r="H229" s="11">
        <v>65</v>
      </c>
      <c r="I229" s="11">
        <v>582</v>
      </c>
      <c r="J229" s="11">
        <v>9</v>
      </c>
      <c r="K229" s="11">
        <f>33000+6000+4500</f>
        <v>43500</v>
      </c>
      <c r="L229" s="10">
        <f>Table1[[#This Row],[تعداد دانلود]]+Table1[[#This Row],[تعداد تماشا ]]</f>
        <v>74</v>
      </c>
    </row>
    <row r="230" spans="1:12" x14ac:dyDescent="0.25">
      <c r="A230" s="13"/>
      <c r="B230" s="13">
        <v>3808</v>
      </c>
      <c r="C230" s="13"/>
      <c r="D230" s="13" t="s">
        <v>763</v>
      </c>
      <c r="E230" s="13" t="s">
        <v>416</v>
      </c>
      <c r="F230" s="13" t="s">
        <v>411</v>
      </c>
      <c r="G230" s="13" t="s">
        <v>11</v>
      </c>
      <c r="H230" s="11">
        <v>52</v>
      </c>
      <c r="I230" s="11">
        <v>510</v>
      </c>
      <c r="J230" s="11">
        <v>10</v>
      </c>
      <c r="K230" s="11">
        <f>24000+6000+4500</f>
        <v>34500</v>
      </c>
      <c r="L230" s="10">
        <f>Table1[[#This Row],[تعداد دانلود]]+Table1[[#This Row],[تعداد تماشا ]]</f>
        <v>62</v>
      </c>
    </row>
    <row r="231" spans="1:12" x14ac:dyDescent="0.25">
      <c r="A231" s="13"/>
      <c r="B231" s="13">
        <v>3805</v>
      </c>
      <c r="C231" s="13"/>
      <c r="D231" s="13" t="s">
        <v>764</v>
      </c>
      <c r="E231" s="13" t="s">
        <v>416</v>
      </c>
      <c r="F231" s="13" t="s">
        <v>411</v>
      </c>
      <c r="G231" s="13" t="s">
        <v>11</v>
      </c>
      <c r="H231" s="11">
        <v>42</v>
      </c>
      <c r="I231" s="11">
        <v>548</v>
      </c>
      <c r="J231" s="11">
        <v>8</v>
      </c>
      <c r="K231" s="11">
        <f>28500+4500+3000</f>
        <v>36000</v>
      </c>
      <c r="L231" s="10">
        <f>Table1[[#This Row],[تعداد دانلود]]+Table1[[#This Row],[تعداد تماشا ]]</f>
        <v>50</v>
      </c>
    </row>
    <row r="232" spans="1:12" x14ac:dyDescent="0.25">
      <c r="A232" s="13"/>
      <c r="B232" s="13">
        <v>3810</v>
      </c>
      <c r="C232" s="13"/>
      <c r="D232" s="13" t="s">
        <v>765</v>
      </c>
      <c r="E232" s="13" t="s">
        <v>416</v>
      </c>
      <c r="F232" s="13" t="s">
        <v>411</v>
      </c>
      <c r="G232" s="13" t="s">
        <v>11</v>
      </c>
      <c r="H232" s="11">
        <v>40</v>
      </c>
      <c r="I232" s="11">
        <v>428</v>
      </c>
      <c r="J232" s="11">
        <v>7</v>
      </c>
      <c r="K232" s="11">
        <f>21000+7500</f>
        <v>28500</v>
      </c>
      <c r="L232" s="10">
        <f>Table1[[#This Row],[تعداد دانلود]]+Table1[[#This Row],[تعداد تماشا ]]</f>
        <v>47</v>
      </c>
    </row>
    <row r="233" spans="1:12" x14ac:dyDescent="0.25">
      <c r="A233" s="13"/>
      <c r="B233" s="13">
        <v>3812</v>
      </c>
      <c r="C233" s="13"/>
      <c r="D233" s="13" t="s">
        <v>766</v>
      </c>
      <c r="E233" s="13" t="s">
        <v>416</v>
      </c>
      <c r="F233" s="13" t="s">
        <v>411</v>
      </c>
      <c r="G233" s="13" t="s">
        <v>11</v>
      </c>
      <c r="H233" s="11">
        <v>42</v>
      </c>
      <c r="I233" s="11">
        <v>480</v>
      </c>
      <c r="J233" s="11">
        <v>9</v>
      </c>
      <c r="K233" s="11">
        <f>31500+7500</f>
        <v>39000</v>
      </c>
      <c r="L233" s="10">
        <f>Table1[[#This Row],[تعداد دانلود]]+Table1[[#This Row],[تعداد تماشا ]]</f>
        <v>51</v>
      </c>
    </row>
    <row r="234" spans="1:12" x14ac:dyDescent="0.25">
      <c r="A234" s="13"/>
      <c r="B234" s="13">
        <v>3815</v>
      </c>
      <c r="C234" s="13"/>
      <c r="D234" s="13" t="s">
        <v>767</v>
      </c>
      <c r="E234" s="13" t="s">
        <v>416</v>
      </c>
      <c r="F234" s="13" t="s">
        <v>411</v>
      </c>
      <c r="G234" s="13" t="s">
        <v>11</v>
      </c>
      <c r="H234" s="11">
        <v>38</v>
      </c>
      <c r="I234" s="11">
        <v>415</v>
      </c>
      <c r="J234" s="11">
        <v>7</v>
      </c>
      <c r="K234" s="11">
        <f>22500+7500</f>
        <v>30000</v>
      </c>
      <c r="L234" s="10">
        <f>Table1[[#This Row],[تعداد دانلود]]+Table1[[#This Row],[تعداد تماشا ]]</f>
        <v>45</v>
      </c>
    </row>
    <row r="235" spans="1:12" x14ac:dyDescent="0.25">
      <c r="A235" s="13"/>
      <c r="B235" s="13">
        <v>3814</v>
      </c>
      <c r="C235" s="13"/>
      <c r="D235" s="13" t="s">
        <v>768</v>
      </c>
      <c r="E235" s="13" t="s">
        <v>416</v>
      </c>
      <c r="F235" s="13" t="s">
        <v>411</v>
      </c>
      <c r="G235" s="13" t="s">
        <v>11</v>
      </c>
      <c r="H235" s="11">
        <v>34</v>
      </c>
      <c r="I235" s="11">
        <v>370</v>
      </c>
      <c r="J235" s="11">
        <v>8</v>
      </c>
      <c r="K235" s="11">
        <f>18000+6000</f>
        <v>24000</v>
      </c>
      <c r="L235" s="10">
        <f>Table1[[#This Row],[تعداد دانلود]]+Table1[[#This Row],[تعداد تماشا ]]</f>
        <v>42</v>
      </c>
    </row>
    <row r="236" spans="1:12" x14ac:dyDescent="0.25">
      <c r="A236" s="13"/>
      <c r="B236" s="13">
        <v>3816</v>
      </c>
      <c r="C236" s="13"/>
      <c r="D236" s="13" t="s">
        <v>769</v>
      </c>
      <c r="E236" s="13" t="s">
        <v>416</v>
      </c>
      <c r="F236" s="13" t="s">
        <v>411</v>
      </c>
      <c r="G236" s="13" t="s">
        <v>11</v>
      </c>
      <c r="H236" s="11">
        <v>31</v>
      </c>
      <c r="I236" s="11">
        <v>264</v>
      </c>
      <c r="J236" s="11">
        <v>8</v>
      </c>
      <c r="K236" s="11">
        <f>15000+9000</f>
        <v>24000</v>
      </c>
      <c r="L236" s="10">
        <f>Table1[[#This Row],[تعداد دانلود]]+Table1[[#This Row],[تعداد تماشا ]]</f>
        <v>39</v>
      </c>
    </row>
    <row r="237" spans="1:12" x14ac:dyDescent="0.25">
      <c r="A237" s="13"/>
      <c r="B237" s="13">
        <v>3813</v>
      </c>
      <c r="C237" s="13"/>
      <c r="D237" s="13" t="s">
        <v>770</v>
      </c>
      <c r="E237" s="13" t="s">
        <v>416</v>
      </c>
      <c r="F237" s="13" t="s">
        <v>411</v>
      </c>
      <c r="G237" s="13" t="s">
        <v>11</v>
      </c>
      <c r="H237" s="11">
        <v>46</v>
      </c>
      <c r="I237" s="11">
        <v>442</v>
      </c>
      <c r="J237" s="11">
        <v>9</v>
      </c>
      <c r="K237" s="11">
        <v>24000</v>
      </c>
      <c r="L237" s="10">
        <f>Table1[[#This Row],[تعداد دانلود]]+Table1[[#This Row],[تعداد تماشا ]]</f>
        <v>55</v>
      </c>
    </row>
    <row r="238" spans="1:12" ht="36" x14ac:dyDescent="0.25">
      <c r="A238" s="13">
        <v>229</v>
      </c>
      <c r="B238" s="13">
        <v>3876</v>
      </c>
      <c r="C238" s="13"/>
      <c r="D238" s="13" t="s">
        <v>417</v>
      </c>
      <c r="E238" s="13" t="s">
        <v>418</v>
      </c>
      <c r="F238" s="13" t="s">
        <v>402</v>
      </c>
      <c r="G238" s="13" t="s">
        <v>379</v>
      </c>
      <c r="H238" s="11">
        <v>610</v>
      </c>
      <c r="I238" s="11">
        <v>5967</v>
      </c>
      <c r="J238" s="11">
        <v>70</v>
      </c>
      <c r="K238" s="11">
        <f>72000+81000+18000</f>
        <v>171000</v>
      </c>
      <c r="L238" s="10">
        <f>Table1[[#This Row],[تعداد دانلود]]+Table1[[#This Row],[تعداد تماشا ]]</f>
        <v>680</v>
      </c>
    </row>
    <row r="239" spans="1:12" x14ac:dyDescent="0.25">
      <c r="A239" s="13">
        <v>230</v>
      </c>
      <c r="B239" s="13">
        <v>3880</v>
      </c>
      <c r="C239" s="13"/>
      <c r="D239" s="13" t="s">
        <v>750</v>
      </c>
      <c r="E239" s="13" t="s">
        <v>419</v>
      </c>
      <c r="F239" s="13" t="s">
        <v>411</v>
      </c>
      <c r="G239" s="13" t="s">
        <v>11</v>
      </c>
      <c r="H239" s="11">
        <v>119</v>
      </c>
      <c r="I239" s="11">
        <v>1692</v>
      </c>
      <c r="J239" s="11">
        <v>10</v>
      </c>
      <c r="K239" s="11">
        <f>86000+14000</f>
        <v>100000</v>
      </c>
      <c r="L239" s="10">
        <f>Table1[[#This Row],[تعداد دانلود]]+Table1[[#This Row],[تعداد تماشا ]]</f>
        <v>129</v>
      </c>
    </row>
    <row r="240" spans="1:12" x14ac:dyDescent="0.25">
      <c r="A240" s="13"/>
      <c r="B240" s="13">
        <v>3881</v>
      </c>
      <c r="C240" s="13"/>
      <c r="D240" s="13" t="s">
        <v>751</v>
      </c>
      <c r="E240" s="13" t="s">
        <v>419</v>
      </c>
      <c r="F240" s="13" t="s">
        <v>411</v>
      </c>
      <c r="G240" s="13" t="s">
        <v>11</v>
      </c>
      <c r="H240" s="11">
        <v>123</v>
      </c>
      <c r="I240" s="11">
        <v>1288</v>
      </c>
      <c r="J240" s="11">
        <v>5</v>
      </c>
      <c r="K240" s="11">
        <v>80000</v>
      </c>
      <c r="L240" s="10">
        <f>Table1[[#This Row],[تعداد دانلود]]+Table1[[#This Row],[تعداد تماشا ]]</f>
        <v>128</v>
      </c>
    </row>
    <row r="241" spans="1:12" ht="36" x14ac:dyDescent="0.25">
      <c r="A241" s="13"/>
      <c r="B241" s="13">
        <v>3882</v>
      </c>
      <c r="C241" s="13"/>
      <c r="D241" s="13" t="s">
        <v>752</v>
      </c>
      <c r="E241" s="13" t="s">
        <v>419</v>
      </c>
      <c r="F241" s="13" t="s">
        <v>411</v>
      </c>
      <c r="G241" s="13" t="s">
        <v>11</v>
      </c>
      <c r="H241" s="11">
        <v>106</v>
      </c>
      <c r="I241" s="11">
        <v>1181</v>
      </c>
      <c r="J241" s="11">
        <v>1</v>
      </c>
      <c r="K241" s="11">
        <v>62000</v>
      </c>
      <c r="L241" s="10">
        <f>Table1[[#This Row],[تعداد دانلود]]+Table1[[#This Row],[تعداد تماشا ]]</f>
        <v>107</v>
      </c>
    </row>
    <row r="242" spans="1:12" ht="36" x14ac:dyDescent="0.25">
      <c r="A242" s="13"/>
      <c r="B242" s="13">
        <v>3883</v>
      </c>
      <c r="C242" s="13"/>
      <c r="D242" s="13" t="s">
        <v>753</v>
      </c>
      <c r="E242" s="13" t="s">
        <v>419</v>
      </c>
      <c r="F242" s="13" t="s">
        <v>411</v>
      </c>
      <c r="G242" s="13" t="s">
        <v>11</v>
      </c>
      <c r="H242" s="11">
        <v>77</v>
      </c>
      <c r="I242" s="11">
        <v>828</v>
      </c>
      <c r="J242" s="11">
        <v>1</v>
      </c>
      <c r="K242" s="11">
        <f>52000+2000</f>
        <v>54000</v>
      </c>
      <c r="L242" s="10">
        <f>Table1[[#This Row],[تعداد دانلود]]+Table1[[#This Row],[تعداد تماشا ]]</f>
        <v>78</v>
      </c>
    </row>
    <row r="243" spans="1:12" ht="36" x14ac:dyDescent="0.25">
      <c r="A243" s="13"/>
      <c r="B243" s="13">
        <v>3884</v>
      </c>
      <c r="C243" s="13"/>
      <c r="D243" s="13" t="s">
        <v>754</v>
      </c>
      <c r="E243" s="13" t="s">
        <v>419</v>
      </c>
      <c r="F243" s="13" t="s">
        <v>411</v>
      </c>
      <c r="G243" s="13" t="s">
        <v>11</v>
      </c>
      <c r="H243" s="11">
        <v>90</v>
      </c>
      <c r="I243" s="11">
        <v>1065</v>
      </c>
      <c r="J243" s="11">
        <v>3</v>
      </c>
      <c r="K243" s="11">
        <v>62000</v>
      </c>
      <c r="L243" s="10">
        <f>Table1[[#This Row],[تعداد دانلود]]+Table1[[#This Row],[تعداد تماشا ]]</f>
        <v>93</v>
      </c>
    </row>
    <row r="244" spans="1:12" ht="36" x14ac:dyDescent="0.25">
      <c r="A244" s="13"/>
      <c r="B244" s="13">
        <v>3885</v>
      </c>
      <c r="C244" s="13"/>
      <c r="D244" s="13" t="s">
        <v>755</v>
      </c>
      <c r="E244" s="13" t="s">
        <v>419</v>
      </c>
      <c r="F244" s="13" t="s">
        <v>411</v>
      </c>
      <c r="G244" s="13" t="s">
        <v>11</v>
      </c>
      <c r="H244" s="11">
        <v>83</v>
      </c>
      <c r="I244" s="11">
        <v>1046</v>
      </c>
      <c r="J244" s="11">
        <v>2</v>
      </c>
      <c r="K244" s="11">
        <v>56000</v>
      </c>
      <c r="L244" s="10">
        <f>Table1[[#This Row],[تعداد دانلود]]+Table1[[#This Row],[تعداد تماشا ]]</f>
        <v>85</v>
      </c>
    </row>
    <row r="245" spans="1:12" ht="36" x14ac:dyDescent="0.25">
      <c r="A245" s="13"/>
      <c r="B245" s="13">
        <v>3886</v>
      </c>
      <c r="C245" s="13"/>
      <c r="D245" s="13" t="s">
        <v>756</v>
      </c>
      <c r="E245" s="13" t="s">
        <v>419</v>
      </c>
      <c r="F245" s="13" t="s">
        <v>411</v>
      </c>
      <c r="G245" s="13" t="s">
        <v>11</v>
      </c>
      <c r="H245" s="11">
        <v>58</v>
      </c>
      <c r="I245" s="11">
        <v>842</v>
      </c>
      <c r="J245" s="11">
        <v>1</v>
      </c>
      <c r="K245" s="11">
        <v>62000</v>
      </c>
      <c r="L245" s="10">
        <f>Table1[[#This Row],[تعداد دانلود]]+Table1[[#This Row],[تعداد تماشا ]]</f>
        <v>59</v>
      </c>
    </row>
    <row r="246" spans="1:12" ht="36" x14ac:dyDescent="0.25">
      <c r="A246" s="13"/>
      <c r="B246" s="13">
        <v>3887</v>
      </c>
      <c r="C246" s="13"/>
      <c r="D246" s="13" t="s">
        <v>757</v>
      </c>
      <c r="E246" s="13" t="s">
        <v>419</v>
      </c>
      <c r="F246" s="13" t="s">
        <v>411</v>
      </c>
      <c r="G246" s="13" t="s">
        <v>11</v>
      </c>
      <c r="H246" s="11">
        <v>95</v>
      </c>
      <c r="I246" s="11">
        <v>834</v>
      </c>
      <c r="J246" s="11">
        <v>2</v>
      </c>
      <c r="K246" s="11">
        <v>62000</v>
      </c>
      <c r="L246" s="10">
        <f>Table1[[#This Row],[تعداد دانلود]]+Table1[[#This Row],[تعداد تماشا ]]</f>
        <v>97</v>
      </c>
    </row>
    <row r="247" spans="1:12" x14ac:dyDescent="0.25">
      <c r="A247" s="13">
        <v>231</v>
      </c>
      <c r="B247" s="13">
        <v>4202</v>
      </c>
      <c r="C247" s="13"/>
      <c r="D247" s="13" t="s">
        <v>745</v>
      </c>
      <c r="E247" s="13" t="s">
        <v>420</v>
      </c>
      <c r="F247" s="13" t="s">
        <v>411</v>
      </c>
      <c r="G247" s="13" t="s">
        <v>11</v>
      </c>
      <c r="H247" s="11">
        <v>51</v>
      </c>
      <c r="I247" s="11">
        <v>397</v>
      </c>
      <c r="J247" s="11">
        <v>15</v>
      </c>
      <c r="K247" s="11">
        <f>22500+15000+1500</f>
        <v>39000</v>
      </c>
      <c r="L247" s="10">
        <f>Table1[[#This Row],[تعداد دانلود]]+Table1[[#This Row],[تعداد تماشا ]]</f>
        <v>66</v>
      </c>
    </row>
    <row r="248" spans="1:12" x14ac:dyDescent="0.25">
      <c r="A248" s="13"/>
      <c r="B248" s="13">
        <v>4205</v>
      </c>
      <c r="C248" s="13"/>
      <c r="D248" s="13" t="s">
        <v>746</v>
      </c>
      <c r="E248" s="13" t="s">
        <v>420</v>
      </c>
      <c r="F248" s="13" t="s">
        <v>411</v>
      </c>
      <c r="G248" s="13" t="s">
        <v>11</v>
      </c>
      <c r="H248" s="11">
        <v>22</v>
      </c>
      <c r="I248" s="11">
        <v>299</v>
      </c>
      <c r="J248" s="11">
        <v>15</v>
      </c>
      <c r="K248" s="11">
        <f>16500+16500+1500</f>
        <v>34500</v>
      </c>
      <c r="L248" s="10">
        <f>Table1[[#This Row],[تعداد دانلود]]+Table1[[#This Row],[تعداد تماشا ]]</f>
        <v>37</v>
      </c>
    </row>
    <row r="249" spans="1:12" x14ac:dyDescent="0.25">
      <c r="A249" s="13"/>
      <c r="B249" s="13">
        <v>4203</v>
      </c>
      <c r="C249" s="13"/>
      <c r="D249" s="13" t="s">
        <v>747</v>
      </c>
      <c r="E249" s="13" t="s">
        <v>420</v>
      </c>
      <c r="F249" s="13" t="s">
        <v>411</v>
      </c>
      <c r="G249" s="13" t="s">
        <v>11</v>
      </c>
      <c r="H249" s="11">
        <v>24</v>
      </c>
      <c r="I249" s="11">
        <v>169</v>
      </c>
      <c r="J249" s="11">
        <v>10</v>
      </c>
      <c r="K249" s="11">
        <v>21000</v>
      </c>
      <c r="L249" s="10">
        <f>Table1[[#This Row],[تعداد دانلود]]+Table1[[#This Row],[تعداد تماشا ]]</f>
        <v>34</v>
      </c>
    </row>
    <row r="250" spans="1:12" x14ac:dyDescent="0.25">
      <c r="A250" s="13"/>
      <c r="B250" s="13">
        <v>4206</v>
      </c>
      <c r="C250" s="13"/>
      <c r="D250" s="13" t="s">
        <v>748</v>
      </c>
      <c r="E250" s="13" t="s">
        <v>420</v>
      </c>
      <c r="F250" s="13" t="s">
        <v>411</v>
      </c>
      <c r="G250" s="13" t="s">
        <v>11</v>
      </c>
      <c r="H250" s="11">
        <v>17</v>
      </c>
      <c r="I250" s="11">
        <v>152</v>
      </c>
      <c r="J250" s="11">
        <v>10</v>
      </c>
      <c r="K250" s="11">
        <f>10500+9000+1500</f>
        <v>21000</v>
      </c>
      <c r="L250" s="10">
        <f>Table1[[#This Row],[تعداد دانلود]]+Table1[[#This Row],[تعداد تماشا ]]</f>
        <v>27</v>
      </c>
    </row>
    <row r="251" spans="1:12" x14ac:dyDescent="0.25">
      <c r="A251" s="13"/>
      <c r="B251" s="13">
        <v>4204</v>
      </c>
      <c r="C251" s="13"/>
      <c r="D251" s="13" t="s">
        <v>749</v>
      </c>
      <c r="E251" s="13" t="s">
        <v>420</v>
      </c>
      <c r="F251" s="13" t="s">
        <v>411</v>
      </c>
      <c r="G251" s="13" t="s">
        <v>11</v>
      </c>
      <c r="H251" s="11">
        <v>19</v>
      </c>
      <c r="I251" s="11">
        <v>137</v>
      </c>
      <c r="J251" s="11">
        <v>5</v>
      </c>
      <c r="K251" s="11">
        <f>15000</f>
        <v>15000</v>
      </c>
      <c r="L251" s="10">
        <f>Table1[[#This Row],[تعداد دانلود]]+Table1[[#This Row],[تعداد تماشا ]]</f>
        <v>24</v>
      </c>
    </row>
    <row r="252" spans="1:12" x14ac:dyDescent="0.25">
      <c r="A252" s="13">
        <v>232</v>
      </c>
      <c r="B252" s="13">
        <v>4071</v>
      </c>
      <c r="C252" s="13"/>
      <c r="D252" s="13" t="s">
        <v>734</v>
      </c>
      <c r="E252" s="13" t="s">
        <v>421</v>
      </c>
      <c r="F252" s="13" t="s">
        <v>411</v>
      </c>
      <c r="G252" s="13" t="s">
        <v>11</v>
      </c>
      <c r="H252" s="11">
        <v>204</v>
      </c>
      <c r="I252" s="11">
        <v>787</v>
      </c>
      <c r="J252" s="11">
        <v>15</v>
      </c>
      <c r="K252" s="11">
        <f>60000+9000+1500</f>
        <v>70500</v>
      </c>
      <c r="L252" s="10">
        <f>Table1[[#This Row],[تعداد دانلود]]+Table1[[#This Row],[تعداد تماشا ]]</f>
        <v>219</v>
      </c>
    </row>
    <row r="253" spans="1:12" x14ac:dyDescent="0.25">
      <c r="A253" s="13"/>
      <c r="B253" s="13">
        <v>4072</v>
      </c>
      <c r="C253" s="13"/>
      <c r="D253" s="13" t="s">
        <v>735</v>
      </c>
      <c r="E253" s="13" t="s">
        <v>421</v>
      </c>
      <c r="F253" s="13" t="s">
        <v>411</v>
      </c>
      <c r="G253" s="13" t="s">
        <v>11</v>
      </c>
      <c r="H253" s="11">
        <v>150</v>
      </c>
      <c r="I253" s="11">
        <v>705</v>
      </c>
      <c r="J253" s="11">
        <v>5</v>
      </c>
      <c r="K253" s="11">
        <f>48000+4500</f>
        <v>52500</v>
      </c>
      <c r="L253" s="10">
        <f>Table1[[#This Row],[تعداد دانلود]]+Table1[[#This Row],[تعداد تماشا ]]</f>
        <v>155</v>
      </c>
    </row>
    <row r="254" spans="1:12" x14ac:dyDescent="0.25">
      <c r="A254" s="13"/>
      <c r="B254" s="13">
        <v>4073</v>
      </c>
      <c r="C254" s="13"/>
      <c r="D254" s="13" t="s">
        <v>736</v>
      </c>
      <c r="E254" s="13" t="s">
        <v>421</v>
      </c>
      <c r="F254" s="13" t="s">
        <v>411</v>
      </c>
      <c r="G254" s="13" t="s">
        <v>11</v>
      </c>
      <c r="H254" s="11">
        <v>69</v>
      </c>
      <c r="I254" s="11">
        <v>376</v>
      </c>
      <c r="J254" s="11">
        <v>6</v>
      </c>
      <c r="K254" s="11">
        <f>34500+4500</f>
        <v>39000</v>
      </c>
      <c r="L254" s="10">
        <f>Table1[[#This Row],[تعداد دانلود]]+Table1[[#This Row],[تعداد تماشا ]]</f>
        <v>75</v>
      </c>
    </row>
    <row r="255" spans="1:12" x14ac:dyDescent="0.25">
      <c r="A255" s="13"/>
      <c r="B255" s="13">
        <v>4077</v>
      </c>
      <c r="C255" s="13"/>
      <c r="D255" s="13" t="s">
        <v>737</v>
      </c>
      <c r="E255" s="13" t="s">
        <v>421</v>
      </c>
      <c r="F255" s="13" t="s">
        <v>411</v>
      </c>
      <c r="G255" s="13" t="s">
        <v>11</v>
      </c>
      <c r="H255" s="11">
        <v>63</v>
      </c>
      <c r="I255" s="11">
        <v>307</v>
      </c>
      <c r="J255" s="11">
        <v>4</v>
      </c>
      <c r="K255" s="11">
        <f>24000+3000</f>
        <v>27000</v>
      </c>
      <c r="L255" s="10">
        <f>Table1[[#This Row],[تعداد دانلود]]+Table1[[#This Row],[تعداد تماشا ]]</f>
        <v>67</v>
      </c>
    </row>
    <row r="256" spans="1:12" x14ac:dyDescent="0.25">
      <c r="A256" s="13"/>
      <c r="B256" s="13">
        <v>4078</v>
      </c>
      <c r="C256" s="13"/>
      <c r="D256" s="13" t="s">
        <v>738</v>
      </c>
      <c r="E256" s="13" t="s">
        <v>421</v>
      </c>
      <c r="F256" s="13" t="s">
        <v>411</v>
      </c>
      <c r="G256" s="13" t="s">
        <v>11</v>
      </c>
      <c r="H256" s="11">
        <v>52</v>
      </c>
      <c r="I256" s="11">
        <v>305</v>
      </c>
      <c r="J256" s="11">
        <v>5</v>
      </c>
      <c r="K256" s="11">
        <v>27000</v>
      </c>
      <c r="L256" s="10">
        <f>Table1[[#This Row],[تعداد دانلود]]+Table1[[#This Row],[تعداد تماشا ]]</f>
        <v>57</v>
      </c>
    </row>
    <row r="257" spans="1:12" x14ac:dyDescent="0.25">
      <c r="A257" s="13"/>
      <c r="B257" s="13">
        <v>4079</v>
      </c>
      <c r="C257" s="13"/>
      <c r="D257" s="13" t="s">
        <v>739</v>
      </c>
      <c r="E257" s="13" t="s">
        <v>421</v>
      </c>
      <c r="F257" s="13" t="s">
        <v>411</v>
      </c>
      <c r="G257" s="13" t="s">
        <v>11</v>
      </c>
      <c r="H257" s="11">
        <v>48</v>
      </c>
      <c r="I257" s="11">
        <v>272</v>
      </c>
      <c r="J257" s="11">
        <v>4</v>
      </c>
      <c r="K257" s="11">
        <v>21000</v>
      </c>
      <c r="L257" s="10">
        <f>Table1[[#This Row],[تعداد دانلود]]+Table1[[#This Row],[تعداد تماشا ]]</f>
        <v>52</v>
      </c>
    </row>
    <row r="258" spans="1:12" x14ac:dyDescent="0.25">
      <c r="A258" s="13"/>
      <c r="B258" s="13">
        <v>4081</v>
      </c>
      <c r="C258" s="13"/>
      <c r="D258" s="13" t="s">
        <v>740</v>
      </c>
      <c r="E258" s="13" t="s">
        <v>421</v>
      </c>
      <c r="F258" s="13" t="s">
        <v>411</v>
      </c>
      <c r="G258" s="13" t="s">
        <v>11</v>
      </c>
      <c r="H258" s="11">
        <v>42</v>
      </c>
      <c r="I258" s="11">
        <v>235</v>
      </c>
      <c r="J258" s="11">
        <v>2</v>
      </c>
      <c r="K258" s="11">
        <f>19500+3000</f>
        <v>22500</v>
      </c>
      <c r="L258" s="10">
        <f>Table1[[#This Row],[تعداد دانلود]]+Table1[[#This Row],[تعداد تماشا ]]</f>
        <v>44</v>
      </c>
    </row>
    <row r="259" spans="1:12" x14ac:dyDescent="0.25">
      <c r="A259" s="13"/>
      <c r="B259" s="13">
        <v>4076</v>
      </c>
      <c r="C259" s="13"/>
      <c r="D259" s="13" t="s">
        <v>741</v>
      </c>
      <c r="E259" s="13" t="s">
        <v>421</v>
      </c>
      <c r="F259" s="13" t="s">
        <v>411</v>
      </c>
      <c r="G259" s="13" t="s">
        <v>11</v>
      </c>
      <c r="H259" s="11">
        <v>54</v>
      </c>
      <c r="I259" s="11">
        <v>172</v>
      </c>
      <c r="J259" s="11">
        <v>5</v>
      </c>
      <c r="K259" s="11">
        <v>19500</v>
      </c>
      <c r="L259" s="10">
        <f>Table1[[#This Row],[تعداد دانلود]]+Table1[[#This Row],[تعداد تماشا ]]</f>
        <v>59</v>
      </c>
    </row>
    <row r="260" spans="1:12" x14ac:dyDescent="0.25">
      <c r="A260" s="13"/>
      <c r="B260" s="13">
        <v>4075</v>
      </c>
      <c r="C260" s="13"/>
      <c r="D260" s="13" t="s">
        <v>742</v>
      </c>
      <c r="E260" s="13" t="s">
        <v>421</v>
      </c>
      <c r="F260" s="13" t="s">
        <v>411</v>
      </c>
      <c r="G260" s="13" t="s">
        <v>11</v>
      </c>
      <c r="H260" s="11">
        <v>52</v>
      </c>
      <c r="I260" s="11">
        <v>234</v>
      </c>
      <c r="J260" s="11">
        <v>4</v>
      </c>
      <c r="K260" s="11">
        <v>24000</v>
      </c>
      <c r="L260" s="10">
        <f>Table1[[#This Row],[تعداد دانلود]]+Table1[[#This Row],[تعداد تماشا ]]</f>
        <v>56</v>
      </c>
    </row>
    <row r="261" spans="1:12" x14ac:dyDescent="0.25">
      <c r="A261" s="13"/>
      <c r="B261" s="13">
        <v>4080</v>
      </c>
      <c r="C261" s="13"/>
      <c r="D261" s="13" t="s">
        <v>743</v>
      </c>
      <c r="E261" s="13" t="s">
        <v>421</v>
      </c>
      <c r="F261" s="13" t="s">
        <v>411</v>
      </c>
      <c r="G261" s="13" t="s">
        <v>11</v>
      </c>
      <c r="H261" s="11">
        <v>52</v>
      </c>
      <c r="I261" s="11">
        <v>245</v>
      </c>
      <c r="J261" s="11">
        <v>3</v>
      </c>
      <c r="K261" s="11">
        <v>25500</v>
      </c>
      <c r="L261" s="10">
        <f>Table1[[#This Row],[تعداد دانلود]]+Table1[[#This Row],[تعداد تماشا ]]</f>
        <v>55</v>
      </c>
    </row>
    <row r="262" spans="1:12" x14ac:dyDescent="0.25">
      <c r="A262" s="13"/>
      <c r="B262" s="13">
        <v>4074</v>
      </c>
      <c r="C262" s="13"/>
      <c r="D262" s="13" t="s">
        <v>744</v>
      </c>
      <c r="E262" s="13" t="s">
        <v>421</v>
      </c>
      <c r="F262" s="13" t="s">
        <v>411</v>
      </c>
      <c r="G262" s="13" t="s">
        <v>11</v>
      </c>
      <c r="H262" s="11">
        <v>42</v>
      </c>
      <c r="I262" s="11">
        <v>194</v>
      </c>
      <c r="J262" s="11">
        <v>2</v>
      </c>
      <c r="K262" s="11">
        <v>30000</v>
      </c>
      <c r="L262" s="10">
        <f>Table1[[#This Row],[تعداد دانلود]]+Table1[[#This Row],[تعداد تماشا ]]</f>
        <v>44</v>
      </c>
    </row>
    <row r="263" spans="1:12" x14ac:dyDescent="0.25">
      <c r="A263" s="13">
        <v>233</v>
      </c>
      <c r="B263" s="13">
        <v>3987</v>
      </c>
      <c r="C263" s="13"/>
      <c r="D263" s="13" t="s">
        <v>730</v>
      </c>
      <c r="E263" s="13" t="s">
        <v>422</v>
      </c>
      <c r="F263" s="13" t="s">
        <v>411</v>
      </c>
      <c r="G263" s="13" t="s">
        <v>11</v>
      </c>
      <c r="H263" s="11">
        <v>169</v>
      </c>
      <c r="I263" s="11">
        <v>946</v>
      </c>
      <c r="J263" s="11">
        <v>12</v>
      </c>
      <c r="K263" s="11">
        <f>86000+18000</f>
        <v>104000</v>
      </c>
      <c r="L263" s="10">
        <f>Table1[[#This Row],[تعداد دانلود]]+Table1[[#This Row],[تعداد تماشا ]]</f>
        <v>181</v>
      </c>
    </row>
    <row r="264" spans="1:12" x14ac:dyDescent="0.25">
      <c r="A264" s="13"/>
      <c r="B264" s="13">
        <v>3988</v>
      </c>
      <c r="C264" s="13"/>
      <c r="D264" s="13" t="s">
        <v>731</v>
      </c>
      <c r="E264" s="13" t="s">
        <v>422</v>
      </c>
      <c r="F264" s="13" t="s">
        <v>411</v>
      </c>
      <c r="G264" s="13" t="s">
        <v>11</v>
      </c>
      <c r="H264" s="11">
        <v>138</v>
      </c>
      <c r="I264" s="11">
        <v>833</v>
      </c>
      <c r="J264" s="11">
        <v>10</v>
      </c>
      <c r="K264" s="11">
        <f>64000+14000+2000</f>
        <v>80000</v>
      </c>
      <c r="L264" s="10">
        <f>Table1[[#This Row],[تعداد دانلود]]+Table1[[#This Row],[تعداد تماشا ]]</f>
        <v>148</v>
      </c>
    </row>
    <row r="265" spans="1:12" x14ac:dyDescent="0.25">
      <c r="A265" s="13"/>
      <c r="B265" s="13">
        <v>3989</v>
      </c>
      <c r="C265" s="13"/>
      <c r="D265" s="13" t="s">
        <v>732</v>
      </c>
      <c r="E265" s="13" t="s">
        <v>422</v>
      </c>
      <c r="F265" s="13" t="s">
        <v>411</v>
      </c>
      <c r="G265" s="13" t="s">
        <v>11</v>
      </c>
      <c r="H265" s="11">
        <v>111</v>
      </c>
      <c r="I265" s="11">
        <v>668</v>
      </c>
      <c r="J265" s="11">
        <v>11</v>
      </c>
      <c r="K265" s="11">
        <f>62000+14000+2000</f>
        <v>78000</v>
      </c>
      <c r="L265" s="10">
        <f>Table1[[#This Row],[تعداد دانلود]]+Table1[[#This Row],[تعداد تماشا ]]</f>
        <v>122</v>
      </c>
    </row>
    <row r="266" spans="1:12" x14ac:dyDescent="0.25">
      <c r="A266" s="13"/>
      <c r="B266" s="13">
        <v>3990</v>
      </c>
      <c r="C266" s="13"/>
      <c r="D266" s="13" t="s">
        <v>733</v>
      </c>
      <c r="E266" s="13" t="s">
        <v>422</v>
      </c>
      <c r="F266" s="13" t="s">
        <v>411</v>
      </c>
      <c r="G266" s="13" t="s">
        <v>11</v>
      </c>
      <c r="H266" s="11">
        <v>77</v>
      </c>
      <c r="I266" s="11">
        <v>494</v>
      </c>
      <c r="J266" s="11">
        <v>12</v>
      </c>
      <c r="K266" s="11">
        <f>46000+16000+4000</f>
        <v>66000</v>
      </c>
      <c r="L266" s="10">
        <f>Table1[[#This Row],[تعداد دانلود]]+Table1[[#This Row],[تعداد تماشا ]]</f>
        <v>89</v>
      </c>
    </row>
    <row r="267" spans="1:12" x14ac:dyDescent="0.25">
      <c r="A267" s="13">
        <v>234</v>
      </c>
      <c r="B267" s="13">
        <v>3959</v>
      </c>
      <c r="C267" s="13"/>
      <c r="D267" s="13" t="s">
        <v>723</v>
      </c>
      <c r="E267" s="13" t="s">
        <v>423</v>
      </c>
      <c r="F267" s="13" t="s">
        <v>411</v>
      </c>
      <c r="G267" s="13" t="s">
        <v>379</v>
      </c>
      <c r="H267" s="11">
        <v>75</v>
      </c>
      <c r="I267" s="11">
        <v>606</v>
      </c>
      <c r="J267" s="11">
        <v>9</v>
      </c>
      <c r="K267" s="11">
        <f>16000+5000+2000</f>
        <v>23000</v>
      </c>
      <c r="L267" s="10">
        <f>Table1[[#This Row],[تعداد دانلود]]+Table1[[#This Row],[تعداد تماشا ]]</f>
        <v>84</v>
      </c>
    </row>
    <row r="268" spans="1:12" x14ac:dyDescent="0.25">
      <c r="A268" s="13"/>
      <c r="B268" s="13">
        <v>3957</v>
      </c>
      <c r="C268" s="13"/>
      <c r="D268" s="13" t="s">
        <v>724</v>
      </c>
      <c r="E268" s="13" t="s">
        <v>423</v>
      </c>
      <c r="F268" s="13" t="s">
        <v>411</v>
      </c>
      <c r="G268" s="13" t="s">
        <v>379</v>
      </c>
      <c r="H268" s="11">
        <v>35</v>
      </c>
      <c r="I268" s="11">
        <v>298</v>
      </c>
      <c r="J268" s="11">
        <v>2</v>
      </c>
      <c r="K268" s="11">
        <v>9000</v>
      </c>
      <c r="L268" s="10">
        <f>Table1[[#This Row],[تعداد دانلود]]+Table1[[#This Row],[تعداد تماشا ]]</f>
        <v>37</v>
      </c>
    </row>
    <row r="269" spans="1:12" x14ac:dyDescent="0.25">
      <c r="A269" s="13"/>
      <c r="B269" s="13">
        <v>3958</v>
      </c>
      <c r="C269" s="13"/>
      <c r="D269" s="13" t="s">
        <v>725</v>
      </c>
      <c r="E269" s="13" t="s">
        <v>423</v>
      </c>
      <c r="F269" s="13" t="s">
        <v>411</v>
      </c>
      <c r="G269" s="13" t="s">
        <v>379</v>
      </c>
      <c r="H269" s="11">
        <v>24</v>
      </c>
      <c r="I269" s="11">
        <v>184</v>
      </c>
      <c r="J269" s="11">
        <v>1</v>
      </c>
      <c r="K269" s="11">
        <v>6000</v>
      </c>
      <c r="L269" s="10">
        <f>Table1[[#This Row],[تعداد دانلود]]+Table1[[#This Row],[تعداد تماشا ]]</f>
        <v>25</v>
      </c>
    </row>
    <row r="270" spans="1:12" x14ac:dyDescent="0.25">
      <c r="A270" s="13"/>
      <c r="B270" s="13">
        <v>3960</v>
      </c>
      <c r="C270" s="13"/>
      <c r="D270" s="13" t="s">
        <v>726</v>
      </c>
      <c r="E270" s="13" t="s">
        <v>423</v>
      </c>
      <c r="F270" s="13" t="s">
        <v>411</v>
      </c>
      <c r="G270" s="13" t="s">
        <v>379</v>
      </c>
      <c r="H270" s="11">
        <v>17</v>
      </c>
      <c r="I270" s="11">
        <v>218</v>
      </c>
      <c r="J270" s="11">
        <v>1</v>
      </c>
      <c r="K270" s="11">
        <v>5000</v>
      </c>
      <c r="L270" s="10">
        <f>Table1[[#This Row],[تعداد دانلود]]+Table1[[#This Row],[تعداد تماشا ]]</f>
        <v>18</v>
      </c>
    </row>
    <row r="271" spans="1:12" x14ac:dyDescent="0.25">
      <c r="A271" s="13"/>
      <c r="B271" s="13">
        <v>3961</v>
      </c>
      <c r="C271" s="13"/>
      <c r="D271" s="13" t="s">
        <v>727</v>
      </c>
      <c r="E271" s="13" t="s">
        <v>423</v>
      </c>
      <c r="F271" s="13" t="s">
        <v>411</v>
      </c>
      <c r="G271" s="13" t="s">
        <v>379</v>
      </c>
      <c r="H271" s="11">
        <v>11</v>
      </c>
      <c r="I271" s="11">
        <v>173</v>
      </c>
      <c r="J271" s="11">
        <v>2</v>
      </c>
      <c r="K271" s="11">
        <v>7000</v>
      </c>
      <c r="L271" s="10">
        <f>Table1[[#This Row],[تعداد دانلود]]+Table1[[#This Row],[تعداد تماشا ]]</f>
        <v>13</v>
      </c>
    </row>
    <row r="272" spans="1:12" x14ac:dyDescent="0.25">
      <c r="A272" s="13"/>
      <c r="B272" s="13">
        <v>3962</v>
      </c>
      <c r="C272" s="13"/>
      <c r="D272" s="13" t="s">
        <v>728</v>
      </c>
      <c r="E272" s="13" t="s">
        <v>423</v>
      </c>
      <c r="F272" s="13" t="s">
        <v>411</v>
      </c>
      <c r="G272" s="13" t="s">
        <v>379</v>
      </c>
      <c r="H272" s="11">
        <v>19</v>
      </c>
      <c r="I272" s="11">
        <v>197</v>
      </c>
      <c r="J272" s="11">
        <v>2</v>
      </c>
      <c r="K272" s="11">
        <v>7000</v>
      </c>
      <c r="L272" s="10">
        <f>Table1[[#This Row],[تعداد دانلود]]+Table1[[#This Row],[تعداد تماشا ]]</f>
        <v>21</v>
      </c>
    </row>
    <row r="273" spans="1:12" x14ac:dyDescent="0.25">
      <c r="A273" s="13"/>
      <c r="B273" s="13">
        <v>3963</v>
      </c>
      <c r="C273" s="13"/>
      <c r="D273" s="13" t="s">
        <v>729</v>
      </c>
      <c r="E273" s="13" t="s">
        <v>423</v>
      </c>
      <c r="F273" s="13" t="s">
        <v>411</v>
      </c>
      <c r="G273" s="13" t="s">
        <v>379</v>
      </c>
      <c r="H273" s="11">
        <v>24</v>
      </c>
      <c r="I273" s="11">
        <v>220</v>
      </c>
      <c r="J273" s="11">
        <v>2</v>
      </c>
      <c r="K273" s="11">
        <v>10000</v>
      </c>
      <c r="L273" s="10">
        <f>Table1[[#This Row],[تعداد دانلود]]+Table1[[#This Row],[تعداد تماشا ]]</f>
        <v>26</v>
      </c>
    </row>
    <row r="274" spans="1:12" x14ac:dyDescent="0.25">
      <c r="A274" s="13">
        <v>235</v>
      </c>
      <c r="B274" s="13">
        <v>4274</v>
      </c>
      <c r="C274" s="13"/>
      <c r="D274" s="13" t="s">
        <v>424</v>
      </c>
      <c r="E274" s="13" t="s">
        <v>425</v>
      </c>
      <c r="F274" s="13" t="s">
        <v>403</v>
      </c>
      <c r="G274" s="13" t="s">
        <v>11</v>
      </c>
      <c r="H274" s="11">
        <v>201</v>
      </c>
      <c r="I274" s="11">
        <v>2045</v>
      </c>
      <c r="J274" s="11">
        <v>14</v>
      </c>
      <c r="K274" s="11">
        <f>104000+8000</f>
        <v>112000</v>
      </c>
      <c r="L274" s="10">
        <f>Table1[[#This Row],[تعداد دانلود]]+Table1[[#This Row],[تعداد تماشا ]]</f>
        <v>215</v>
      </c>
    </row>
    <row r="275" spans="1:12" ht="36" x14ac:dyDescent="0.25">
      <c r="A275" s="13">
        <v>236</v>
      </c>
      <c r="B275" s="13">
        <v>4275</v>
      </c>
      <c r="C275" s="13"/>
      <c r="D275" s="13" t="s">
        <v>426</v>
      </c>
      <c r="E275" s="13" t="s">
        <v>427</v>
      </c>
      <c r="F275" s="13" t="s">
        <v>402</v>
      </c>
      <c r="G275" s="13" t="s">
        <v>11</v>
      </c>
      <c r="H275" s="11">
        <v>549</v>
      </c>
      <c r="I275" s="11">
        <v>8011</v>
      </c>
      <c r="J275" s="11">
        <v>177</v>
      </c>
      <c r="K275" s="11">
        <f>184000+287000+108000</f>
        <v>579000</v>
      </c>
      <c r="L275" s="10">
        <f>Table1[[#This Row],[تعداد دانلود]]+Table1[[#This Row],[تعداد تماشا ]]</f>
        <v>726</v>
      </c>
    </row>
    <row r="276" spans="1:12" ht="36" x14ac:dyDescent="0.25">
      <c r="A276" s="13">
        <v>237</v>
      </c>
      <c r="B276" s="13">
        <v>4277</v>
      </c>
      <c r="C276" s="13"/>
      <c r="D276" s="13" t="s">
        <v>428</v>
      </c>
      <c r="E276" s="13" t="s">
        <v>429</v>
      </c>
      <c r="F276" s="13" t="s">
        <v>403</v>
      </c>
      <c r="G276" s="13" t="s">
        <v>11</v>
      </c>
      <c r="H276" s="11">
        <v>107</v>
      </c>
      <c r="I276" s="11">
        <v>764</v>
      </c>
      <c r="J276" s="11">
        <v>15</v>
      </c>
      <c r="K276" s="11">
        <f>84000+27000+15000</f>
        <v>126000</v>
      </c>
      <c r="L276" s="10">
        <f>Table1[[#This Row],[تعداد دانلود]]+Table1[[#This Row],[تعداد تماشا ]]</f>
        <v>122</v>
      </c>
    </row>
    <row r="277" spans="1:12" ht="36" x14ac:dyDescent="0.25">
      <c r="A277" s="13">
        <v>238</v>
      </c>
      <c r="B277" s="13">
        <v>4278</v>
      </c>
      <c r="C277" s="13"/>
      <c r="D277" s="13" t="s">
        <v>430</v>
      </c>
      <c r="E277" s="13" t="s">
        <v>431</v>
      </c>
      <c r="F277" s="13" t="s">
        <v>402</v>
      </c>
      <c r="G277" s="13" t="s">
        <v>11</v>
      </c>
      <c r="H277" s="11">
        <v>109</v>
      </c>
      <c r="I277" s="11">
        <v>728</v>
      </c>
      <c r="J277" s="11">
        <v>42</v>
      </c>
      <c r="K277" s="11">
        <f>54000+51000+37000</f>
        <v>142000</v>
      </c>
      <c r="L277" s="10">
        <f>Table1[[#This Row],[تعداد دانلود]]+Table1[[#This Row],[تعداد تماشا ]]</f>
        <v>151</v>
      </c>
    </row>
    <row r="278" spans="1:12" ht="36" x14ac:dyDescent="0.25">
      <c r="A278" s="13">
        <v>239</v>
      </c>
      <c r="B278" s="13">
        <v>4281</v>
      </c>
      <c r="C278" s="13"/>
      <c r="D278" s="13" t="s">
        <v>432</v>
      </c>
      <c r="E278" s="13" t="s">
        <v>433</v>
      </c>
      <c r="F278" s="13" t="s">
        <v>402</v>
      </c>
      <c r="G278" s="13" t="s">
        <v>11</v>
      </c>
      <c r="H278" s="11">
        <v>102</v>
      </c>
      <c r="I278" s="11">
        <v>1771</v>
      </c>
      <c r="J278" s="11">
        <v>78</v>
      </c>
      <c r="K278" s="11">
        <f>80000+210000+65000</f>
        <v>355000</v>
      </c>
      <c r="L278" s="10">
        <f>Table1[[#This Row],[تعداد دانلود]]+Table1[[#This Row],[تعداد تماشا ]]</f>
        <v>180</v>
      </c>
    </row>
    <row r="279" spans="1:12" ht="36" x14ac:dyDescent="0.25">
      <c r="A279" s="13">
        <v>240</v>
      </c>
      <c r="B279" s="13">
        <v>4529</v>
      </c>
      <c r="C279" s="13"/>
      <c r="D279" s="13" t="s">
        <v>435</v>
      </c>
      <c r="E279" s="13" t="s">
        <v>434</v>
      </c>
      <c r="F279" s="13" t="s">
        <v>402</v>
      </c>
      <c r="G279" s="13" t="s">
        <v>11</v>
      </c>
      <c r="H279" s="11">
        <v>480</v>
      </c>
      <c r="I279" s="11">
        <v>8500</v>
      </c>
      <c r="J279" s="11">
        <v>88</v>
      </c>
      <c r="K279" s="11">
        <f>217000+132000+80000+4000</f>
        <v>433000</v>
      </c>
      <c r="L279" s="10">
        <f>Table1[[#This Row],[تعداد دانلود]]+Table1[[#This Row],[تعداد تماشا ]]</f>
        <v>568</v>
      </c>
    </row>
    <row r="280" spans="1:12" x14ac:dyDescent="0.25">
      <c r="A280" s="13">
        <v>241</v>
      </c>
      <c r="B280" s="13">
        <v>3668</v>
      </c>
      <c r="C280" s="13"/>
      <c r="D280" s="13" t="s">
        <v>713</v>
      </c>
      <c r="E280" s="13" t="s">
        <v>436</v>
      </c>
      <c r="F280" s="13" t="s">
        <v>411</v>
      </c>
      <c r="G280" s="13" t="s">
        <v>11</v>
      </c>
      <c r="H280" s="11">
        <v>74</v>
      </c>
      <c r="I280" s="11">
        <v>381</v>
      </c>
      <c r="J280" s="11">
        <v>9</v>
      </c>
      <c r="K280" s="11">
        <f>48000+7500+1500</f>
        <v>57000</v>
      </c>
      <c r="L280" s="10">
        <f>Table1[[#This Row],[تعداد دانلود]]+Table1[[#This Row],[تعداد تماشا ]]</f>
        <v>83</v>
      </c>
    </row>
    <row r="281" spans="1:12" x14ac:dyDescent="0.25">
      <c r="A281" s="13"/>
      <c r="B281" s="13">
        <v>3667</v>
      </c>
      <c r="C281" s="13"/>
      <c r="D281" s="13" t="s">
        <v>714</v>
      </c>
      <c r="E281" s="13" t="s">
        <v>436</v>
      </c>
      <c r="F281" s="13" t="s">
        <v>411</v>
      </c>
      <c r="G281" s="13" t="s">
        <v>11</v>
      </c>
      <c r="H281" s="11">
        <v>43</v>
      </c>
      <c r="I281" s="11">
        <v>269</v>
      </c>
      <c r="J281" s="11">
        <v>6</v>
      </c>
      <c r="K281" s="11">
        <v>45000</v>
      </c>
      <c r="L281" s="10">
        <f>Table1[[#This Row],[تعداد دانلود]]+Table1[[#This Row],[تعداد تماشا ]]</f>
        <v>49</v>
      </c>
    </row>
    <row r="282" spans="1:12" x14ac:dyDescent="0.25">
      <c r="A282" s="13"/>
      <c r="B282" s="13">
        <v>3666</v>
      </c>
      <c r="C282" s="13"/>
      <c r="D282" s="13" t="s">
        <v>715</v>
      </c>
      <c r="E282" s="13" t="s">
        <v>436</v>
      </c>
      <c r="F282" s="13" t="s">
        <v>411</v>
      </c>
      <c r="G282" s="13" t="s">
        <v>11</v>
      </c>
      <c r="H282" s="11">
        <v>30</v>
      </c>
      <c r="I282" s="11">
        <v>220</v>
      </c>
      <c r="J282" s="11">
        <v>4</v>
      </c>
      <c r="K282" s="11">
        <v>36000</v>
      </c>
      <c r="L282" s="10">
        <f>Table1[[#This Row],[تعداد دانلود]]+Table1[[#This Row],[تعداد تماشا ]]</f>
        <v>34</v>
      </c>
    </row>
    <row r="283" spans="1:12" x14ac:dyDescent="0.25">
      <c r="A283" s="13"/>
      <c r="B283" s="13">
        <v>3665</v>
      </c>
      <c r="C283" s="13"/>
      <c r="D283" s="13" t="s">
        <v>716</v>
      </c>
      <c r="E283" s="13" t="s">
        <v>436</v>
      </c>
      <c r="F283" s="13" t="s">
        <v>411</v>
      </c>
      <c r="G283" s="13" t="s">
        <v>11</v>
      </c>
      <c r="H283" s="11">
        <v>31</v>
      </c>
      <c r="I283" s="11">
        <v>224</v>
      </c>
      <c r="J283" s="11">
        <v>2</v>
      </c>
      <c r="K283" s="11">
        <v>33000</v>
      </c>
      <c r="L283" s="10">
        <f>Table1[[#This Row],[تعداد دانلود]]+Table1[[#This Row],[تعداد تماشا ]]</f>
        <v>33</v>
      </c>
    </row>
    <row r="284" spans="1:12" x14ac:dyDescent="0.25">
      <c r="A284" s="13"/>
      <c r="B284" s="13">
        <v>3664</v>
      </c>
      <c r="C284" s="13"/>
      <c r="D284" s="13" t="s">
        <v>717</v>
      </c>
      <c r="E284" s="13" t="s">
        <v>436</v>
      </c>
      <c r="F284" s="13" t="s">
        <v>411</v>
      </c>
      <c r="G284" s="13" t="s">
        <v>11</v>
      </c>
      <c r="H284" s="11">
        <v>24</v>
      </c>
      <c r="I284" s="11">
        <v>200</v>
      </c>
      <c r="J284" s="11">
        <v>3</v>
      </c>
      <c r="K284" s="11">
        <v>34500</v>
      </c>
      <c r="L284" s="10">
        <f>Table1[[#This Row],[تعداد دانلود]]+Table1[[#This Row],[تعداد تماشا ]]</f>
        <v>27</v>
      </c>
    </row>
    <row r="285" spans="1:12" x14ac:dyDescent="0.25">
      <c r="A285" s="13"/>
      <c r="B285" s="13">
        <v>3663</v>
      </c>
      <c r="C285" s="13"/>
      <c r="D285" s="13" t="s">
        <v>718</v>
      </c>
      <c r="E285" s="13" t="s">
        <v>436</v>
      </c>
      <c r="F285" s="13" t="s">
        <v>411</v>
      </c>
      <c r="G285" s="13" t="s">
        <v>11</v>
      </c>
      <c r="H285" s="11">
        <v>26</v>
      </c>
      <c r="I285" s="11">
        <v>208</v>
      </c>
      <c r="J285" s="11">
        <v>3</v>
      </c>
      <c r="K285" s="11">
        <v>33000</v>
      </c>
      <c r="L285" s="10">
        <f>Table1[[#This Row],[تعداد دانلود]]+Table1[[#This Row],[تعداد تماشا ]]</f>
        <v>29</v>
      </c>
    </row>
    <row r="286" spans="1:12" x14ac:dyDescent="0.25">
      <c r="A286" s="13"/>
      <c r="B286" s="13">
        <v>3662</v>
      </c>
      <c r="C286" s="13"/>
      <c r="D286" s="13" t="s">
        <v>719</v>
      </c>
      <c r="E286" s="13" t="s">
        <v>436</v>
      </c>
      <c r="F286" s="13" t="s">
        <v>411</v>
      </c>
      <c r="G286" s="13" t="s">
        <v>11</v>
      </c>
      <c r="H286" s="11">
        <v>32</v>
      </c>
      <c r="I286" s="11">
        <v>1373</v>
      </c>
      <c r="J286" s="11">
        <v>2</v>
      </c>
      <c r="K286" s="11">
        <f>28500+3000</f>
        <v>31500</v>
      </c>
      <c r="L286" s="10">
        <f>Table1[[#This Row],[تعداد دانلود]]+Table1[[#This Row],[تعداد تماشا ]]</f>
        <v>34</v>
      </c>
    </row>
    <row r="287" spans="1:12" x14ac:dyDescent="0.25">
      <c r="A287" s="13"/>
      <c r="B287" s="13">
        <v>3661</v>
      </c>
      <c r="C287" s="13"/>
      <c r="D287" s="13" t="s">
        <v>720</v>
      </c>
      <c r="E287" s="13" t="s">
        <v>436</v>
      </c>
      <c r="F287" s="13" t="s">
        <v>411</v>
      </c>
      <c r="G287" s="13" t="s">
        <v>11</v>
      </c>
      <c r="H287" s="11">
        <v>30</v>
      </c>
      <c r="I287" s="11">
        <v>254</v>
      </c>
      <c r="J287" s="11">
        <v>2</v>
      </c>
      <c r="K287" s="11">
        <v>33000</v>
      </c>
      <c r="L287" s="10">
        <f>Table1[[#This Row],[تعداد دانلود]]+Table1[[#This Row],[تعداد تماشا ]]</f>
        <v>32</v>
      </c>
    </row>
    <row r="288" spans="1:12" x14ac:dyDescent="0.25">
      <c r="A288" s="13"/>
      <c r="B288" s="13">
        <v>3660</v>
      </c>
      <c r="C288" s="13"/>
      <c r="D288" s="13" t="s">
        <v>721</v>
      </c>
      <c r="E288" s="13" t="s">
        <v>436</v>
      </c>
      <c r="F288" s="13" t="s">
        <v>411</v>
      </c>
      <c r="G288" s="13" t="s">
        <v>11</v>
      </c>
      <c r="H288" s="11">
        <v>24</v>
      </c>
      <c r="I288" s="11">
        <v>158</v>
      </c>
      <c r="J288" s="11">
        <v>1</v>
      </c>
      <c r="K288" s="11">
        <f>25500+1500</f>
        <v>27000</v>
      </c>
      <c r="L288" s="10">
        <f>Table1[[#This Row],[تعداد دانلود]]+Table1[[#This Row],[تعداد تماشا ]]</f>
        <v>25</v>
      </c>
    </row>
    <row r="289" spans="1:12" x14ac:dyDescent="0.25">
      <c r="A289" s="13"/>
      <c r="B289" s="13">
        <v>3659</v>
      </c>
      <c r="C289" s="13"/>
      <c r="D289" s="13" t="s">
        <v>722</v>
      </c>
      <c r="E289" s="13" t="s">
        <v>436</v>
      </c>
      <c r="F289" s="13" t="s">
        <v>411</v>
      </c>
      <c r="G289" s="13" t="s">
        <v>11</v>
      </c>
      <c r="H289" s="11">
        <v>24</v>
      </c>
      <c r="I289" s="11">
        <v>194</v>
      </c>
      <c r="J289" s="11">
        <v>1</v>
      </c>
      <c r="K289" s="11">
        <f>31500</f>
        <v>31500</v>
      </c>
      <c r="L289" s="10">
        <f>Table1[[#This Row],[تعداد دانلود]]+Table1[[#This Row],[تعداد تماشا ]]</f>
        <v>25</v>
      </c>
    </row>
    <row r="290" spans="1:12" ht="36" x14ac:dyDescent="0.25">
      <c r="A290" s="13">
        <v>242</v>
      </c>
      <c r="B290" s="13">
        <v>3629</v>
      </c>
      <c r="C290" s="13"/>
      <c r="D290" s="13" t="s">
        <v>437</v>
      </c>
      <c r="E290" s="13" t="s">
        <v>438</v>
      </c>
      <c r="F290" s="13" t="s">
        <v>411</v>
      </c>
      <c r="G290" s="13" t="s">
        <v>379</v>
      </c>
      <c r="H290" s="11">
        <v>446</v>
      </c>
      <c r="I290" s="11">
        <v>1286</v>
      </c>
      <c r="J290" s="11">
        <v>26</v>
      </c>
      <c r="K290" s="11">
        <v>0</v>
      </c>
      <c r="L290" s="10">
        <f>Table1[[#This Row],[تعداد دانلود]]+Table1[[#This Row],[تعداد تماشا ]]</f>
        <v>472</v>
      </c>
    </row>
    <row r="291" spans="1:12" x14ac:dyDescent="0.25">
      <c r="A291" s="13">
        <v>243</v>
      </c>
      <c r="B291" s="13">
        <v>3555</v>
      </c>
      <c r="C291" s="13"/>
      <c r="D291" s="13" t="s">
        <v>710</v>
      </c>
      <c r="E291" s="13" t="s">
        <v>439</v>
      </c>
      <c r="F291" s="13" t="s">
        <v>411</v>
      </c>
      <c r="G291" s="13" t="s">
        <v>379</v>
      </c>
      <c r="H291" s="11">
        <v>32</v>
      </c>
      <c r="I291" s="11">
        <v>27</v>
      </c>
      <c r="J291" s="11">
        <v>15</v>
      </c>
      <c r="K291" s="11">
        <v>27000</v>
      </c>
      <c r="L291" s="10">
        <f>Table1[[#This Row],[تعداد دانلود]]+Table1[[#This Row],[تعداد تماشا ]]</f>
        <v>47</v>
      </c>
    </row>
    <row r="292" spans="1:12" x14ac:dyDescent="0.25">
      <c r="A292" s="13"/>
      <c r="B292" s="13">
        <v>3556</v>
      </c>
      <c r="C292" s="13"/>
      <c r="D292" s="13" t="s">
        <v>711</v>
      </c>
      <c r="E292" s="13" t="s">
        <v>439</v>
      </c>
      <c r="F292" s="13" t="s">
        <v>411</v>
      </c>
      <c r="G292" s="13" t="s">
        <v>379</v>
      </c>
      <c r="H292" s="11">
        <v>17</v>
      </c>
      <c r="I292" s="11">
        <v>35</v>
      </c>
      <c r="J292" s="11">
        <v>5</v>
      </c>
      <c r="K292" s="11">
        <v>12000</v>
      </c>
      <c r="L292" s="10">
        <f>Table1[[#This Row],[تعداد دانلود]]+Table1[[#This Row],[تعداد تماشا ]]</f>
        <v>22</v>
      </c>
    </row>
    <row r="293" spans="1:12" x14ac:dyDescent="0.25">
      <c r="A293" s="13"/>
      <c r="B293" s="13">
        <v>3557</v>
      </c>
      <c r="C293" s="13"/>
      <c r="D293" s="13" t="s">
        <v>712</v>
      </c>
      <c r="E293" s="13" t="s">
        <v>439</v>
      </c>
      <c r="F293" s="13" t="s">
        <v>411</v>
      </c>
      <c r="G293" s="13" t="s">
        <v>379</v>
      </c>
      <c r="H293" s="11">
        <v>14</v>
      </c>
      <c r="I293" s="11">
        <v>23</v>
      </c>
      <c r="J293" s="11">
        <v>4</v>
      </c>
      <c r="K293" s="11">
        <v>9000</v>
      </c>
      <c r="L293" s="10">
        <f>Table1[[#This Row],[تعداد دانلود]]+Table1[[#This Row],[تعداد تماشا ]]</f>
        <v>18</v>
      </c>
    </row>
    <row r="294" spans="1:12" ht="36" x14ac:dyDescent="0.25">
      <c r="A294" s="13">
        <v>244</v>
      </c>
      <c r="B294" s="13">
        <v>3377</v>
      </c>
      <c r="C294" s="13"/>
      <c r="D294" s="13" t="s">
        <v>441</v>
      </c>
      <c r="E294" s="13" t="s">
        <v>440</v>
      </c>
      <c r="F294" s="13" t="s">
        <v>411</v>
      </c>
      <c r="G294" s="13" t="s">
        <v>11</v>
      </c>
      <c r="H294" s="11">
        <v>165</v>
      </c>
      <c r="I294" s="11">
        <v>888</v>
      </c>
      <c r="J294" s="11">
        <v>145</v>
      </c>
      <c r="K294" s="11">
        <v>4000</v>
      </c>
      <c r="L294" s="10">
        <f>Table1[[#This Row],[تعداد دانلود]]+Table1[[#This Row],[تعداد تماشا ]]</f>
        <v>310</v>
      </c>
    </row>
    <row r="295" spans="1:12" x14ac:dyDescent="0.25">
      <c r="A295" s="13">
        <v>245</v>
      </c>
      <c r="B295" s="13">
        <v>3356</v>
      </c>
      <c r="C295" s="13"/>
      <c r="D295" s="13" t="s">
        <v>700</v>
      </c>
      <c r="E295" s="13" t="s">
        <v>442</v>
      </c>
      <c r="F295" s="13" t="s">
        <v>411</v>
      </c>
      <c r="G295" s="13" t="s">
        <v>11</v>
      </c>
      <c r="H295" s="11">
        <v>10</v>
      </c>
      <c r="I295" s="11">
        <v>57</v>
      </c>
      <c r="J295" s="11">
        <v>4</v>
      </c>
      <c r="K295" s="11">
        <v>10000</v>
      </c>
      <c r="L295" s="10">
        <f>Table1[[#This Row],[تعداد دانلود]]+Table1[[#This Row],[تعداد تماشا ]]</f>
        <v>14</v>
      </c>
    </row>
    <row r="296" spans="1:12" x14ac:dyDescent="0.25">
      <c r="A296" s="13"/>
      <c r="B296" s="13">
        <v>3357</v>
      </c>
      <c r="C296" s="13"/>
      <c r="D296" s="13" t="s">
        <v>701</v>
      </c>
      <c r="E296" s="13" t="s">
        <v>442</v>
      </c>
      <c r="F296" s="13" t="s">
        <v>411</v>
      </c>
      <c r="G296" s="13" t="s">
        <v>11</v>
      </c>
      <c r="H296" s="11">
        <v>16</v>
      </c>
      <c r="I296" s="11">
        <v>62</v>
      </c>
      <c r="J296" s="11">
        <v>1</v>
      </c>
      <c r="K296" s="11">
        <v>10000</v>
      </c>
      <c r="L296" s="10">
        <f>Table1[[#This Row],[تعداد دانلود]]+Table1[[#This Row],[تعداد تماشا ]]</f>
        <v>17</v>
      </c>
    </row>
    <row r="297" spans="1:12" x14ac:dyDescent="0.25">
      <c r="A297" s="13"/>
      <c r="B297" s="13">
        <v>3358</v>
      </c>
      <c r="C297" s="13"/>
      <c r="D297" s="13" t="s">
        <v>702</v>
      </c>
      <c r="E297" s="13" t="s">
        <v>442</v>
      </c>
      <c r="F297" s="13" t="s">
        <v>411</v>
      </c>
      <c r="G297" s="13" t="s">
        <v>11</v>
      </c>
      <c r="H297" s="11">
        <v>6</v>
      </c>
      <c r="I297" s="11">
        <v>22</v>
      </c>
      <c r="J297" s="11">
        <v>0</v>
      </c>
      <c r="K297" s="11">
        <v>3000</v>
      </c>
      <c r="L297" s="10">
        <f>Table1[[#This Row],[تعداد دانلود]]+Table1[[#This Row],[تعداد تماشا ]]</f>
        <v>6</v>
      </c>
    </row>
    <row r="298" spans="1:12" x14ac:dyDescent="0.25">
      <c r="A298" s="13"/>
      <c r="B298" s="13">
        <v>3359</v>
      </c>
      <c r="C298" s="13"/>
      <c r="D298" s="13" t="s">
        <v>703</v>
      </c>
      <c r="E298" s="13" t="s">
        <v>442</v>
      </c>
      <c r="F298" s="13" t="s">
        <v>411</v>
      </c>
      <c r="G298" s="13" t="s">
        <v>11</v>
      </c>
      <c r="H298" s="11">
        <v>9</v>
      </c>
      <c r="I298" s="11">
        <v>27</v>
      </c>
      <c r="J298" s="11">
        <v>0</v>
      </c>
      <c r="K298" s="11">
        <v>2000</v>
      </c>
      <c r="L298" s="10">
        <f>Table1[[#This Row],[تعداد دانلود]]+Table1[[#This Row],[تعداد تماشا ]]</f>
        <v>9</v>
      </c>
    </row>
    <row r="299" spans="1:12" x14ac:dyDescent="0.25">
      <c r="A299" s="13"/>
      <c r="B299" s="13">
        <v>3360</v>
      </c>
      <c r="C299" s="13"/>
      <c r="D299" s="13" t="s">
        <v>704</v>
      </c>
      <c r="E299" s="13" t="s">
        <v>442</v>
      </c>
      <c r="F299" s="13" t="s">
        <v>411</v>
      </c>
      <c r="G299" s="13" t="s">
        <v>11</v>
      </c>
      <c r="H299" s="11">
        <v>7</v>
      </c>
      <c r="I299" s="11">
        <v>35</v>
      </c>
      <c r="J299" s="11">
        <v>0</v>
      </c>
      <c r="K299" s="11">
        <v>3000</v>
      </c>
      <c r="L299" s="10">
        <f>Table1[[#This Row],[تعداد دانلود]]+Table1[[#This Row],[تعداد تماشا ]]</f>
        <v>7</v>
      </c>
    </row>
    <row r="300" spans="1:12" ht="36" x14ac:dyDescent="0.25">
      <c r="A300" s="13"/>
      <c r="B300" s="13">
        <v>3361</v>
      </c>
      <c r="C300" s="13"/>
      <c r="D300" s="13" t="s">
        <v>705</v>
      </c>
      <c r="E300" s="13" t="s">
        <v>442</v>
      </c>
      <c r="F300" s="13" t="s">
        <v>411</v>
      </c>
      <c r="G300" s="13" t="s">
        <v>11</v>
      </c>
      <c r="H300" s="11">
        <v>4</v>
      </c>
      <c r="I300" s="11">
        <v>34</v>
      </c>
      <c r="J300" s="11">
        <v>0</v>
      </c>
      <c r="K300" s="11">
        <v>3000</v>
      </c>
      <c r="L300" s="10">
        <f>Table1[[#This Row],[تعداد دانلود]]+Table1[[#This Row],[تعداد تماشا ]]</f>
        <v>4</v>
      </c>
    </row>
    <row r="301" spans="1:12" x14ac:dyDescent="0.25">
      <c r="A301" s="13"/>
      <c r="B301" s="13">
        <v>3362</v>
      </c>
      <c r="C301" s="13"/>
      <c r="D301" s="13" t="s">
        <v>706</v>
      </c>
      <c r="E301" s="13" t="s">
        <v>442</v>
      </c>
      <c r="F301" s="13" t="s">
        <v>411</v>
      </c>
      <c r="G301" s="13" t="s">
        <v>11</v>
      </c>
      <c r="H301" s="11">
        <v>23</v>
      </c>
      <c r="I301" s="11">
        <v>89</v>
      </c>
      <c r="J301" s="11">
        <v>0</v>
      </c>
      <c r="K301" s="11">
        <v>6000</v>
      </c>
      <c r="L301" s="10">
        <f>Table1[[#This Row],[تعداد دانلود]]+Table1[[#This Row],[تعداد تماشا ]]</f>
        <v>23</v>
      </c>
    </row>
    <row r="302" spans="1:12" x14ac:dyDescent="0.25">
      <c r="A302" s="13"/>
      <c r="B302" s="13">
        <v>3363</v>
      </c>
      <c r="C302" s="13"/>
      <c r="D302" s="13" t="s">
        <v>707</v>
      </c>
      <c r="E302" s="13" t="s">
        <v>442</v>
      </c>
      <c r="F302" s="13" t="s">
        <v>411</v>
      </c>
      <c r="G302" s="13" t="s">
        <v>11</v>
      </c>
      <c r="H302" s="11">
        <v>7</v>
      </c>
      <c r="I302" s="11">
        <v>21</v>
      </c>
      <c r="J302" s="11">
        <v>0</v>
      </c>
      <c r="K302" s="11">
        <v>3000</v>
      </c>
      <c r="L302" s="10">
        <f>Table1[[#This Row],[تعداد دانلود]]+Table1[[#This Row],[تعداد تماشا ]]</f>
        <v>7</v>
      </c>
    </row>
    <row r="303" spans="1:12" x14ac:dyDescent="0.25">
      <c r="A303" s="13"/>
      <c r="B303" s="13">
        <v>3364</v>
      </c>
      <c r="C303" s="13"/>
      <c r="D303" s="13" t="s">
        <v>708</v>
      </c>
      <c r="E303" s="13" t="s">
        <v>442</v>
      </c>
      <c r="F303" s="13" t="s">
        <v>411</v>
      </c>
      <c r="G303" s="13" t="s">
        <v>11</v>
      </c>
      <c r="H303" s="11">
        <v>9</v>
      </c>
      <c r="I303" s="11">
        <v>48</v>
      </c>
      <c r="J303" s="11">
        <v>0</v>
      </c>
      <c r="K303" s="11">
        <v>4000</v>
      </c>
      <c r="L303" s="10">
        <f>Table1[[#This Row],[تعداد دانلود]]+Table1[[#This Row],[تعداد تماشا ]]</f>
        <v>9</v>
      </c>
    </row>
    <row r="304" spans="1:12" x14ac:dyDescent="0.25">
      <c r="A304" s="13"/>
      <c r="B304" s="13">
        <v>3365</v>
      </c>
      <c r="C304" s="13"/>
      <c r="D304" s="13" t="s">
        <v>709</v>
      </c>
      <c r="E304" s="13" t="s">
        <v>442</v>
      </c>
      <c r="F304" s="13" t="s">
        <v>411</v>
      </c>
      <c r="G304" s="13" t="s">
        <v>11</v>
      </c>
      <c r="H304" s="11">
        <v>2</v>
      </c>
      <c r="I304" s="11">
        <v>7</v>
      </c>
      <c r="J304" s="11">
        <v>0</v>
      </c>
      <c r="K304" s="11">
        <v>1000</v>
      </c>
      <c r="L304" s="10">
        <f>Table1[[#This Row],[تعداد دانلود]]+Table1[[#This Row],[تعداد تماشا ]]</f>
        <v>2</v>
      </c>
    </row>
    <row r="305" spans="1:12" x14ac:dyDescent="0.25">
      <c r="A305" s="13">
        <v>246</v>
      </c>
      <c r="B305" s="13">
        <v>3336</v>
      </c>
      <c r="C305" s="13"/>
      <c r="D305" s="13" t="s">
        <v>443</v>
      </c>
      <c r="E305" s="13" t="s">
        <v>444</v>
      </c>
      <c r="F305" s="13" t="s">
        <v>411</v>
      </c>
      <c r="G305" s="13" t="s">
        <v>11</v>
      </c>
      <c r="H305" s="11">
        <v>43</v>
      </c>
      <c r="I305" s="11">
        <v>174</v>
      </c>
      <c r="J305" s="11">
        <v>5</v>
      </c>
      <c r="K305" s="11">
        <v>0</v>
      </c>
      <c r="L305" s="10">
        <f>Table1[[#This Row],[تعداد دانلود]]+Table1[[#This Row],[تعداد تماشا ]]</f>
        <v>48</v>
      </c>
    </row>
    <row r="306" spans="1:12" ht="36" x14ac:dyDescent="0.25">
      <c r="A306" s="13">
        <v>247</v>
      </c>
      <c r="B306" s="13">
        <v>2962</v>
      </c>
      <c r="C306" s="13"/>
      <c r="D306" s="13" t="s">
        <v>445</v>
      </c>
      <c r="E306" s="13" t="s">
        <v>446</v>
      </c>
      <c r="F306" s="13" t="s">
        <v>402</v>
      </c>
      <c r="G306" s="13" t="s">
        <v>11</v>
      </c>
      <c r="H306" s="11">
        <v>179</v>
      </c>
      <c r="I306" s="11">
        <v>1570</v>
      </c>
      <c r="J306" s="11">
        <v>55</v>
      </c>
      <c r="K306" s="11">
        <f>52000+124000+44000</f>
        <v>220000</v>
      </c>
      <c r="L306" s="10">
        <f>Table1[[#This Row],[تعداد دانلود]]+Table1[[#This Row],[تعداد تماشا ]]</f>
        <v>234</v>
      </c>
    </row>
    <row r="307" spans="1:12" ht="36" x14ac:dyDescent="0.25">
      <c r="A307" s="13">
        <v>248</v>
      </c>
      <c r="B307" s="13">
        <v>2980</v>
      </c>
      <c r="C307" s="13"/>
      <c r="D307" s="13" t="s">
        <v>580</v>
      </c>
      <c r="E307" s="13" t="s">
        <v>447</v>
      </c>
      <c r="F307" s="13" t="s">
        <v>411</v>
      </c>
      <c r="G307" s="13" t="s">
        <v>379</v>
      </c>
      <c r="H307" s="11">
        <v>865</v>
      </c>
      <c r="I307" s="11">
        <v>3461</v>
      </c>
      <c r="J307" s="11">
        <v>69</v>
      </c>
      <c r="K307" s="11">
        <v>0</v>
      </c>
      <c r="L307" s="10">
        <f>Table1[[#This Row],[تعداد دانلود]]+Table1[[#This Row],[تعداد تماشا ]]</f>
        <v>934</v>
      </c>
    </row>
    <row r="308" spans="1:12" ht="36" x14ac:dyDescent="0.25">
      <c r="A308" s="13">
        <v>249</v>
      </c>
      <c r="B308" s="13">
        <v>3193</v>
      </c>
      <c r="C308" s="13"/>
      <c r="D308" s="13" t="s">
        <v>448</v>
      </c>
      <c r="E308" s="13" t="s">
        <v>449</v>
      </c>
      <c r="F308" s="13" t="s">
        <v>402</v>
      </c>
      <c r="G308" s="13" t="s">
        <v>11</v>
      </c>
      <c r="H308" s="11">
        <v>218</v>
      </c>
      <c r="I308" s="11">
        <v>3071</v>
      </c>
      <c r="J308" s="11">
        <v>38</v>
      </c>
      <c r="K308" s="11">
        <f>87000+80000+28000</f>
        <v>195000</v>
      </c>
      <c r="L308" s="10">
        <f>Table1[[#This Row],[تعداد دانلود]]+Table1[[#This Row],[تعداد تماشا ]]</f>
        <v>256</v>
      </c>
    </row>
    <row r="309" spans="1:12" ht="36" x14ac:dyDescent="0.25">
      <c r="A309" s="13">
        <v>250</v>
      </c>
      <c r="B309" s="13">
        <v>3314</v>
      </c>
      <c r="C309" s="13"/>
      <c r="D309" s="13" t="s">
        <v>451</v>
      </c>
      <c r="E309" s="13" t="s">
        <v>450</v>
      </c>
      <c r="F309" s="13" t="s">
        <v>411</v>
      </c>
      <c r="G309" s="13" t="s">
        <v>11</v>
      </c>
      <c r="H309" s="11">
        <v>630</v>
      </c>
      <c r="I309" s="11">
        <v>3225</v>
      </c>
      <c r="J309" s="11">
        <v>55</v>
      </c>
      <c r="K309" s="11">
        <v>0</v>
      </c>
      <c r="L309" s="10">
        <f>Table1[[#This Row],[تعداد دانلود]]+Table1[[#This Row],[تعداد تماشا ]]</f>
        <v>685</v>
      </c>
    </row>
    <row r="310" spans="1:12" ht="36" x14ac:dyDescent="0.25">
      <c r="A310" s="13">
        <v>251</v>
      </c>
      <c r="B310" s="13">
        <v>3325</v>
      </c>
      <c r="C310" s="13"/>
      <c r="D310" s="13" t="s">
        <v>581</v>
      </c>
      <c r="E310" s="13" t="s">
        <v>452</v>
      </c>
      <c r="F310" s="13" t="s">
        <v>411</v>
      </c>
      <c r="G310" s="13" t="s">
        <v>11</v>
      </c>
      <c r="H310" s="11">
        <v>366</v>
      </c>
      <c r="I310" s="11">
        <v>1652</v>
      </c>
      <c r="J310" s="11">
        <v>16</v>
      </c>
      <c r="K310" s="11">
        <v>0</v>
      </c>
      <c r="L310" s="10">
        <f>Table1[[#This Row],[تعداد دانلود]]+Table1[[#This Row],[تعداد تماشا ]]</f>
        <v>382</v>
      </c>
    </row>
    <row r="311" spans="1:12" ht="36" x14ac:dyDescent="0.25">
      <c r="A311" s="13">
        <v>252</v>
      </c>
      <c r="B311" s="13">
        <v>2961</v>
      </c>
      <c r="C311" s="13"/>
      <c r="D311" s="13" t="s">
        <v>453</v>
      </c>
      <c r="E311" s="13" t="s">
        <v>454</v>
      </c>
      <c r="F311" s="13" t="s">
        <v>402</v>
      </c>
      <c r="G311" s="13" t="s">
        <v>11</v>
      </c>
      <c r="H311" s="11">
        <v>170</v>
      </c>
      <c r="I311" s="11">
        <v>1695</v>
      </c>
      <c r="J311" s="11">
        <v>50</v>
      </c>
      <c r="K311" s="11">
        <f>48000+90000+62000+70000</f>
        <v>270000</v>
      </c>
      <c r="L311" s="10">
        <f>Table1[[#This Row],[تعداد دانلود]]+Table1[[#This Row],[تعداد تماشا ]]</f>
        <v>220</v>
      </c>
    </row>
    <row r="312" spans="1:12" ht="36" x14ac:dyDescent="0.25">
      <c r="A312" s="13">
        <v>253</v>
      </c>
      <c r="B312" s="13">
        <v>2960</v>
      </c>
      <c r="C312" s="13"/>
      <c r="D312" s="13" t="s">
        <v>455</v>
      </c>
      <c r="E312" s="13" t="s">
        <v>456</v>
      </c>
      <c r="F312" s="13" t="s">
        <v>402</v>
      </c>
      <c r="G312" s="13" t="s">
        <v>11</v>
      </c>
      <c r="H312" s="11">
        <v>698</v>
      </c>
      <c r="I312" s="11">
        <v>7027</v>
      </c>
      <c r="J312" s="11">
        <v>197</v>
      </c>
      <c r="K312" s="11">
        <f>123000+339000+179000</f>
        <v>641000</v>
      </c>
      <c r="L312" s="10">
        <f>Table1[[#This Row],[تعداد دانلود]]+Table1[[#This Row],[تعداد تماشا ]]</f>
        <v>895</v>
      </c>
    </row>
    <row r="313" spans="1:12" ht="36" x14ac:dyDescent="0.25">
      <c r="A313" s="13">
        <v>254</v>
      </c>
      <c r="B313" s="13">
        <v>2959</v>
      </c>
      <c r="C313" s="13"/>
      <c r="D313" s="13" t="s">
        <v>457</v>
      </c>
      <c r="E313" s="13" t="s">
        <v>458</v>
      </c>
      <c r="F313" s="13" t="s">
        <v>402</v>
      </c>
      <c r="G313" s="13" t="s">
        <v>11</v>
      </c>
      <c r="H313" s="11">
        <v>561</v>
      </c>
      <c r="I313" s="11">
        <v>4912</v>
      </c>
      <c r="J313" s="11">
        <v>103</v>
      </c>
      <c r="K313" s="11">
        <f>145000+156000+64000</f>
        <v>365000</v>
      </c>
      <c r="L313" s="10">
        <f>Table1[[#This Row],[تعداد دانلود]]+Table1[[#This Row],[تعداد تماشا ]]</f>
        <v>664</v>
      </c>
    </row>
    <row r="314" spans="1:12" ht="36" x14ac:dyDescent="0.25">
      <c r="A314" s="13">
        <v>255</v>
      </c>
      <c r="B314" s="13">
        <v>2958</v>
      </c>
      <c r="C314" s="13"/>
      <c r="D314" s="13" t="s">
        <v>459</v>
      </c>
      <c r="E314" s="13" t="s">
        <v>460</v>
      </c>
      <c r="F314" s="13" t="s">
        <v>402</v>
      </c>
      <c r="G314" s="13" t="s">
        <v>11</v>
      </c>
      <c r="H314" s="11">
        <v>483</v>
      </c>
      <c r="I314" s="11">
        <v>5745</v>
      </c>
      <c r="J314" s="11">
        <v>129</v>
      </c>
      <c r="K314" s="11">
        <f>142000+184000+96000</f>
        <v>422000</v>
      </c>
      <c r="L314" s="10">
        <f>Table1[[#This Row],[تعداد دانلود]]+Table1[[#This Row],[تعداد تماشا ]]</f>
        <v>612</v>
      </c>
    </row>
    <row r="315" spans="1:12" x14ac:dyDescent="0.25">
      <c r="A315" s="13">
        <v>256</v>
      </c>
      <c r="B315" s="13">
        <v>2940</v>
      </c>
      <c r="C315" s="13"/>
      <c r="D315" s="13" t="s">
        <v>461</v>
      </c>
      <c r="E315" s="13" t="s">
        <v>462</v>
      </c>
      <c r="F315" s="13" t="s">
        <v>411</v>
      </c>
      <c r="G315" s="13" t="s">
        <v>379</v>
      </c>
      <c r="H315" s="11">
        <v>650</v>
      </c>
      <c r="I315" s="11">
        <v>1965</v>
      </c>
      <c r="J315" s="11">
        <v>100</v>
      </c>
      <c r="K315" s="11">
        <v>0</v>
      </c>
      <c r="L315" s="10">
        <f>Table1[[#This Row],[تعداد دانلود]]+Table1[[#This Row],[تعداد تماشا ]]</f>
        <v>750</v>
      </c>
    </row>
    <row r="316" spans="1:12" ht="36" x14ac:dyDescent="0.25">
      <c r="A316" s="13">
        <v>257</v>
      </c>
      <c r="B316" s="13">
        <v>2772</v>
      </c>
      <c r="C316" s="13"/>
      <c r="D316" s="13" t="s">
        <v>463</v>
      </c>
      <c r="E316" s="13" t="s">
        <v>464</v>
      </c>
      <c r="F316" s="13" t="s">
        <v>402</v>
      </c>
      <c r="G316" s="13" t="s">
        <v>11</v>
      </c>
      <c r="H316" s="11">
        <v>590</v>
      </c>
      <c r="I316" s="11">
        <v>6223</v>
      </c>
      <c r="J316" s="11">
        <v>153</v>
      </c>
      <c r="K316" s="11">
        <f>120000+207000+99000</f>
        <v>426000</v>
      </c>
      <c r="L316" s="10">
        <f>Table1[[#This Row],[تعداد دانلود]]+Table1[[#This Row],[تعداد تماشا ]]</f>
        <v>743</v>
      </c>
    </row>
    <row r="317" spans="1:12" ht="36" x14ac:dyDescent="0.25">
      <c r="A317" s="13">
        <v>258</v>
      </c>
      <c r="B317" s="13">
        <v>2578</v>
      </c>
      <c r="C317" s="13"/>
      <c r="D317" s="13" t="s">
        <v>693</v>
      </c>
      <c r="E317" s="13" t="s">
        <v>465</v>
      </c>
      <c r="F317" s="13" t="s">
        <v>411</v>
      </c>
      <c r="G317" s="13" t="s">
        <v>11</v>
      </c>
      <c r="H317" s="11">
        <v>168</v>
      </c>
      <c r="I317" s="11">
        <v>792</v>
      </c>
      <c r="J317" s="11">
        <v>23</v>
      </c>
      <c r="K317" s="11">
        <f>76500+18000+6000</f>
        <v>100500</v>
      </c>
      <c r="L317" s="10">
        <f>Table1[[#This Row],[تعداد دانلود]]+Table1[[#This Row],[تعداد تماشا ]]</f>
        <v>191</v>
      </c>
    </row>
    <row r="318" spans="1:12" ht="36" x14ac:dyDescent="0.25">
      <c r="A318" s="13"/>
      <c r="B318" s="13">
        <v>2579</v>
      </c>
      <c r="C318" s="13"/>
      <c r="D318" s="13" t="s">
        <v>694</v>
      </c>
      <c r="E318" s="13" t="s">
        <v>465</v>
      </c>
      <c r="F318" s="13" t="s">
        <v>411</v>
      </c>
      <c r="G318" s="13" t="s">
        <v>11</v>
      </c>
      <c r="H318" s="11">
        <v>102</v>
      </c>
      <c r="I318" s="11">
        <v>531</v>
      </c>
      <c r="J318" s="11">
        <v>14</v>
      </c>
      <c r="K318" s="11">
        <f>58500+13500+1500</f>
        <v>73500</v>
      </c>
      <c r="L318" s="10">
        <f>Table1[[#This Row],[تعداد دانلود]]+Table1[[#This Row],[تعداد تماشا ]]</f>
        <v>116</v>
      </c>
    </row>
    <row r="319" spans="1:12" ht="36" x14ac:dyDescent="0.25">
      <c r="A319" s="13"/>
      <c r="B319" s="13">
        <v>2580</v>
      </c>
      <c r="C319" s="13"/>
      <c r="D319" s="13" t="s">
        <v>695</v>
      </c>
      <c r="E319" s="13" t="s">
        <v>465</v>
      </c>
      <c r="F319" s="13" t="s">
        <v>411</v>
      </c>
      <c r="G319" s="13" t="s">
        <v>11</v>
      </c>
      <c r="H319" s="11">
        <v>78</v>
      </c>
      <c r="I319" s="11">
        <v>385</v>
      </c>
      <c r="J319" s="11">
        <v>6</v>
      </c>
      <c r="K319" s="11">
        <f>63000+7500+1500</f>
        <v>72000</v>
      </c>
      <c r="L319" s="10">
        <f>Table1[[#This Row],[تعداد دانلود]]+Table1[[#This Row],[تعداد تماشا ]]</f>
        <v>84</v>
      </c>
    </row>
    <row r="320" spans="1:12" ht="36" x14ac:dyDescent="0.25">
      <c r="A320" s="13"/>
      <c r="B320" s="13">
        <v>2581</v>
      </c>
      <c r="C320" s="13"/>
      <c r="D320" s="13" t="s">
        <v>696</v>
      </c>
      <c r="E320" s="13" t="s">
        <v>465</v>
      </c>
      <c r="F320" s="13" t="s">
        <v>411</v>
      </c>
      <c r="G320" s="13" t="s">
        <v>11</v>
      </c>
      <c r="H320" s="11">
        <v>79</v>
      </c>
      <c r="I320" s="11">
        <v>563</v>
      </c>
      <c r="J320" s="11">
        <v>5</v>
      </c>
      <c r="K320" s="11">
        <f>54000+4500+3000</f>
        <v>61500</v>
      </c>
      <c r="L320" s="10">
        <f>Table1[[#This Row],[تعداد دانلود]]+Table1[[#This Row],[تعداد تماشا ]]</f>
        <v>84</v>
      </c>
    </row>
    <row r="321" spans="1:12" ht="36" x14ac:dyDescent="0.25">
      <c r="A321" s="13"/>
      <c r="B321" s="13">
        <v>2582</v>
      </c>
      <c r="C321" s="13"/>
      <c r="D321" s="13" t="s">
        <v>697</v>
      </c>
      <c r="E321" s="13" t="s">
        <v>465</v>
      </c>
      <c r="F321" s="13" t="s">
        <v>411</v>
      </c>
      <c r="G321" s="13" t="s">
        <v>11</v>
      </c>
      <c r="H321" s="11">
        <v>106</v>
      </c>
      <c r="I321" s="11">
        <v>549</v>
      </c>
      <c r="J321" s="11">
        <v>4</v>
      </c>
      <c r="K321" s="11">
        <f>39000+3000</f>
        <v>42000</v>
      </c>
      <c r="L321" s="10">
        <f>Table1[[#This Row],[تعداد دانلود]]+Table1[[#This Row],[تعداد تماشا ]]</f>
        <v>110</v>
      </c>
    </row>
    <row r="322" spans="1:12" ht="36" x14ac:dyDescent="0.25">
      <c r="A322" s="13"/>
      <c r="B322" s="13">
        <v>2583</v>
      </c>
      <c r="C322" s="13"/>
      <c r="D322" s="13" t="s">
        <v>698</v>
      </c>
      <c r="E322" s="13" t="s">
        <v>465</v>
      </c>
      <c r="F322" s="13" t="s">
        <v>411</v>
      </c>
      <c r="G322" s="13" t="s">
        <v>11</v>
      </c>
      <c r="H322" s="11">
        <v>101</v>
      </c>
      <c r="I322" s="11">
        <v>488</v>
      </c>
      <c r="J322" s="11">
        <v>5</v>
      </c>
      <c r="K322" s="11">
        <f>55500+3000+1500</f>
        <v>60000</v>
      </c>
      <c r="L322" s="10">
        <f>Table1[[#This Row],[تعداد دانلود]]+Table1[[#This Row],[تعداد تماشا ]]</f>
        <v>106</v>
      </c>
    </row>
    <row r="323" spans="1:12" ht="36" x14ac:dyDescent="0.25">
      <c r="A323" s="13"/>
      <c r="B323" s="13">
        <v>2584</v>
      </c>
      <c r="C323" s="13"/>
      <c r="D323" s="13" t="s">
        <v>699</v>
      </c>
      <c r="E323" s="13" t="s">
        <v>465</v>
      </c>
      <c r="F323" s="13" t="s">
        <v>411</v>
      </c>
      <c r="G323" s="13" t="s">
        <v>11</v>
      </c>
      <c r="H323" s="11">
        <v>96</v>
      </c>
      <c r="I323" s="11">
        <v>582</v>
      </c>
      <c r="J323" s="11">
        <v>4</v>
      </c>
      <c r="K323" s="11">
        <v>54000</v>
      </c>
      <c r="L323" s="10">
        <f>Table1[[#This Row],[تعداد دانلود]]+Table1[[#This Row],[تعداد تماشا ]]</f>
        <v>100</v>
      </c>
    </row>
    <row r="324" spans="1:12" x14ac:dyDescent="0.25">
      <c r="A324" s="13">
        <v>259</v>
      </c>
      <c r="B324" s="13">
        <v>2565</v>
      </c>
      <c r="C324" s="13"/>
      <c r="D324" s="13" t="s">
        <v>467</v>
      </c>
      <c r="E324" s="13" t="s">
        <v>466</v>
      </c>
      <c r="F324" s="13" t="s">
        <v>411</v>
      </c>
      <c r="G324" s="13" t="s">
        <v>11</v>
      </c>
      <c r="H324" s="11">
        <v>728</v>
      </c>
      <c r="I324" s="11">
        <v>5458</v>
      </c>
      <c r="J324" s="11">
        <v>818</v>
      </c>
      <c r="K324" s="11">
        <v>0</v>
      </c>
      <c r="L324" s="10">
        <f>Table1[[#This Row],[تعداد دانلود]]+Table1[[#This Row],[تعداد تماشا ]]</f>
        <v>1546</v>
      </c>
    </row>
    <row r="325" spans="1:12" x14ac:dyDescent="0.25">
      <c r="A325" s="13">
        <v>260</v>
      </c>
      <c r="B325" s="13">
        <v>2553</v>
      </c>
      <c r="C325" s="13"/>
      <c r="D325" s="13" t="s">
        <v>468</v>
      </c>
      <c r="E325" s="13" t="s">
        <v>469</v>
      </c>
      <c r="F325" s="13" t="s">
        <v>411</v>
      </c>
      <c r="G325" s="13" t="s">
        <v>11</v>
      </c>
      <c r="H325" s="11">
        <v>107</v>
      </c>
      <c r="I325" s="11">
        <v>813</v>
      </c>
      <c r="J325" s="11">
        <v>35</v>
      </c>
      <c r="K325" s="11">
        <v>0</v>
      </c>
      <c r="L325" s="10">
        <f>Table1[[#This Row],[تعداد دانلود]]+Table1[[#This Row],[تعداد تماشا ]]</f>
        <v>142</v>
      </c>
    </row>
    <row r="326" spans="1:12" ht="36" x14ac:dyDescent="0.25">
      <c r="A326" s="13">
        <v>261</v>
      </c>
      <c r="B326" s="13">
        <v>2542</v>
      </c>
      <c r="C326" s="13"/>
      <c r="D326" s="13" t="s">
        <v>471</v>
      </c>
      <c r="E326" s="13" t="s">
        <v>470</v>
      </c>
      <c r="F326" s="13" t="s">
        <v>411</v>
      </c>
      <c r="G326" s="13" t="s">
        <v>11</v>
      </c>
      <c r="H326" s="11">
        <v>137</v>
      </c>
      <c r="I326" s="11">
        <v>501</v>
      </c>
      <c r="J326" s="11">
        <v>41</v>
      </c>
      <c r="K326" s="11">
        <v>0</v>
      </c>
      <c r="L326" s="10">
        <f>Table1[[#This Row],[تعداد دانلود]]+Table1[[#This Row],[تعداد تماشا ]]</f>
        <v>178</v>
      </c>
    </row>
    <row r="327" spans="1:12" ht="36" x14ac:dyDescent="0.25">
      <c r="A327" s="13">
        <v>262</v>
      </c>
      <c r="B327" s="13">
        <v>2529</v>
      </c>
      <c r="C327" s="13"/>
      <c r="D327" s="13" t="s">
        <v>473</v>
      </c>
      <c r="E327" s="13" t="s">
        <v>472</v>
      </c>
      <c r="F327" s="13" t="s">
        <v>411</v>
      </c>
      <c r="G327" s="13" t="s">
        <v>11</v>
      </c>
      <c r="H327" s="11">
        <v>239</v>
      </c>
      <c r="I327" s="11">
        <v>1589</v>
      </c>
      <c r="J327" s="11">
        <v>226</v>
      </c>
      <c r="K327" s="11">
        <v>0</v>
      </c>
      <c r="L327" s="10">
        <f>Table1[[#This Row],[تعداد دانلود]]+Table1[[#This Row],[تعداد تماشا ]]</f>
        <v>465</v>
      </c>
    </row>
    <row r="328" spans="1:12" ht="36" x14ac:dyDescent="0.25">
      <c r="A328" s="13">
        <v>263</v>
      </c>
      <c r="B328" s="13">
        <v>2518</v>
      </c>
      <c r="C328" s="13"/>
      <c r="D328" s="13" t="s">
        <v>582</v>
      </c>
      <c r="E328" s="13" t="s">
        <v>474</v>
      </c>
      <c r="F328" s="13" t="s">
        <v>411</v>
      </c>
      <c r="G328" s="13" t="s">
        <v>11</v>
      </c>
      <c r="H328" s="11">
        <v>30</v>
      </c>
      <c r="I328" s="11">
        <v>107</v>
      </c>
      <c r="J328" s="11">
        <v>16</v>
      </c>
      <c r="K328" s="11">
        <v>0</v>
      </c>
      <c r="L328" s="10">
        <f>Table1[[#This Row],[تعداد دانلود]]+Table1[[#This Row],[تعداد تماشا ]]</f>
        <v>46</v>
      </c>
    </row>
    <row r="329" spans="1:12" ht="36" x14ac:dyDescent="0.25">
      <c r="A329" s="13">
        <v>264</v>
      </c>
      <c r="B329" s="13">
        <v>2506</v>
      </c>
      <c r="C329" s="13"/>
      <c r="D329" s="13" t="s">
        <v>476</v>
      </c>
      <c r="E329" s="13" t="s">
        <v>475</v>
      </c>
      <c r="F329" s="13" t="s">
        <v>411</v>
      </c>
      <c r="G329" s="13" t="s">
        <v>11</v>
      </c>
      <c r="H329" s="11">
        <v>42</v>
      </c>
      <c r="I329" s="11">
        <v>301</v>
      </c>
      <c r="J329" s="11">
        <v>4</v>
      </c>
      <c r="K329" s="11">
        <v>0</v>
      </c>
      <c r="L329" s="10">
        <f>Table1[[#This Row],[تعداد دانلود]]+Table1[[#This Row],[تعداد تماشا ]]</f>
        <v>46</v>
      </c>
    </row>
    <row r="330" spans="1:12" ht="36" x14ac:dyDescent="0.25">
      <c r="A330" s="13">
        <v>265</v>
      </c>
      <c r="B330" s="13">
        <v>2406</v>
      </c>
      <c r="C330" s="13"/>
      <c r="D330" s="13" t="s">
        <v>477</v>
      </c>
      <c r="E330" s="13" t="s">
        <v>478</v>
      </c>
      <c r="F330" s="13" t="s">
        <v>402</v>
      </c>
      <c r="G330" s="13" t="s">
        <v>11</v>
      </c>
      <c r="H330" s="11">
        <v>537</v>
      </c>
      <c r="I330" s="11">
        <v>6483</v>
      </c>
      <c r="J330" s="11">
        <v>84</v>
      </c>
      <c r="K330" s="11">
        <f>111000+117000+45000</f>
        <v>273000</v>
      </c>
      <c r="L330" s="10">
        <f>Table1[[#This Row],[تعداد دانلود]]+Table1[[#This Row],[تعداد تماشا ]]</f>
        <v>621</v>
      </c>
    </row>
    <row r="331" spans="1:12" x14ac:dyDescent="0.25">
      <c r="A331" s="13">
        <v>266</v>
      </c>
      <c r="B331" s="13">
        <v>2460</v>
      </c>
      <c r="C331" s="13"/>
      <c r="D331" s="13" t="s">
        <v>480</v>
      </c>
      <c r="E331" s="13" t="s">
        <v>479</v>
      </c>
      <c r="F331" s="13" t="s">
        <v>411</v>
      </c>
      <c r="G331" s="13" t="s">
        <v>11</v>
      </c>
      <c r="H331" s="11">
        <v>82</v>
      </c>
      <c r="I331" s="11">
        <v>617</v>
      </c>
      <c r="J331" s="11">
        <v>58</v>
      </c>
      <c r="K331" s="11">
        <v>0</v>
      </c>
      <c r="L331" s="10">
        <f>Table1[[#This Row],[تعداد دانلود]]+Table1[[#This Row],[تعداد تماشا ]]</f>
        <v>140</v>
      </c>
    </row>
    <row r="332" spans="1:12" ht="36" x14ac:dyDescent="0.25">
      <c r="A332" s="13">
        <v>267</v>
      </c>
      <c r="B332" s="13">
        <v>2471</v>
      </c>
      <c r="C332" s="13"/>
      <c r="D332" s="13" t="s">
        <v>482</v>
      </c>
      <c r="E332" s="13" t="s">
        <v>481</v>
      </c>
      <c r="F332" s="13" t="s">
        <v>411</v>
      </c>
      <c r="G332" s="13" t="s">
        <v>11</v>
      </c>
      <c r="H332" s="11">
        <v>616</v>
      </c>
      <c r="I332" s="11">
        <v>5934</v>
      </c>
      <c r="J332" s="11">
        <v>134</v>
      </c>
      <c r="K332" s="11">
        <v>0</v>
      </c>
      <c r="L332" s="10">
        <f>Table1[[#This Row],[تعداد دانلود]]+Table1[[#This Row],[تعداد تماشا ]]</f>
        <v>750</v>
      </c>
    </row>
    <row r="333" spans="1:12" ht="36" x14ac:dyDescent="0.25">
      <c r="A333" s="13">
        <v>268</v>
      </c>
      <c r="B333" s="13">
        <v>2482</v>
      </c>
      <c r="C333" s="13"/>
      <c r="D333" s="13" t="s">
        <v>483</v>
      </c>
      <c r="E333" s="13" t="s">
        <v>484</v>
      </c>
      <c r="F333" s="13" t="s">
        <v>411</v>
      </c>
      <c r="G333" s="13" t="s">
        <v>11</v>
      </c>
      <c r="H333" s="11">
        <v>566</v>
      </c>
      <c r="I333" s="11">
        <v>3875</v>
      </c>
      <c r="J333" s="11">
        <v>176</v>
      </c>
      <c r="K333" s="11">
        <v>0</v>
      </c>
      <c r="L333" s="10">
        <f>Table1[[#This Row],[تعداد دانلود]]+Table1[[#This Row],[تعداد تماشا ]]</f>
        <v>742</v>
      </c>
    </row>
    <row r="334" spans="1:12" ht="36" x14ac:dyDescent="0.25">
      <c r="A334" s="13">
        <v>269</v>
      </c>
      <c r="B334" s="13">
        <v>2396</v>
      </c>
      <c r="C334" s="13"/>
      <c r="D334" s="13" t="s">
        <v>781</v>
      </c>
      <c r="E334" s="13" t="s">
        <v>485</v>
      </c>
      <c r="F334" s="13" t="s">
        <v>411</v>
      </c>
      <c r="G334" s="13" t="s">
        <v>379</v>
      </c>
      <c r="H334" s="11">
        <v>135</v>
      </c>
      <c r="I334" s="11">
        <v>175</v>
      </c>
      <c r="J334" s="11">
        <v>310</v>
      </c>
      <c r="K334" s="11">
        <v>14000</v>
      </c>
      <c r="L334" s="10">
        <f>Table1[[#This Row],[تعداد دانلود]]+Table1[[#This Row],[تعداد تماشا ]]</f>
        <v>445</v>
      </c>
    </row>
    <row r="335" spans="1:12" ht="36" x14ac:dyDescent="0.25">
      <c r="A335" s="13">
        <v>270</v>
      </c>
      <c r="B335" s="13">
        <v>2393</v>
      </c>
      <c r="C335" s="13"/>
      <c r="D335" s="13" t="s">
        <v>486</v>
      </c>
      <c r="E335" s="13" t="s">
        <v>487</v>
      </c>
      <c r="F335" s="13" t="s">
        <v>402</v>
      </c>
      <c r="G335" s="13" t="s">
        <v>11</v>
      </c>
      <c r="H335" s="11">
        <v>886</v>
      </c>
      <c r="I335" s="11">
        <v>11722</v>
      </c>
      <c r="J335" s="11">
        <v>226</v>
      </c>
      <c r="K335" s="11">
        <f>186000+222000+180000</f>
        <v>588000</v>
      </c>
      <c r="L335" s="10">
        <f>Table1[[#This Row],[تعداد دانلود]]+Table1[[#This Row],[تعداد تماشا ]]</f>
        <v>1112</v>
      </c>
    </row>
    <row r="336" spans="1:12" ht="36" x14ac:dyDescent="0.25">
      <c r="A336" s="13">
        <v>271</v>
      </c>
      <c r="B336" s="13">
        <v>4610</v>
      </c>
      <c r="C336" s="13"/>
      <c r="D336" s="13" t="s">
        <v>488</v>
      </c>
      <c r="E336" s="13" t="s">
        <v>489</v>
      </c>
      <c r="F336" s="13" t="s">
        <v>402</v>
      </c>
      <c r="G336" s="13" t="s">
        <v>11</v>
      </c>
      <c r="H336" s="11">
        <v>746</v>
      </c>
      <c r="I336" s="11">
        <v>11755</v>
      </c>
      <c r="J336" s="11">
        <v>121</v>
      </c>
      <c r="K336" s="11">
        <f>224000+134000+83000</f>
        <v>441000</v>
      </c>
      <c r="L336" s="10">
        <f>Table1[[#This Row],[تعداد دانلود]]+Table1[[#This Row],[تعداد تماشا ]]</f>
        <v>867</v>
      </c>
    </row>
    <row r="337" spans="1:12" ht="36" x14ac:dyDescent="0.25">
      <c r="A337" s="13">
        <v>272</v>
      </c>
      <c r="B337" s="13">
        <v>4597</v>
      </c>
      <c r="C337" s="13"/>
      <c r="D337" s="13" t="s">
        <v>490</v>
      </c>
      <c r="E337" s="13" t="s">
        <v>491</v>
      </c>
      <c r="F337" s="13" t="s">
        <v>402</v>
      </c>
      <c r="G337" s="13" t="s">
        <v>11</v>
      </c>
      <c r="H337" s="11">
        <v>158</v>
      </c>
      <c r="I337" s="11">
        <v>1433</v>
      </c>
      <c r="J337" s="11">
        <v>39</v>
      </c>
      <c r="K337" s="11">
        <f>44000+64000+20000</f>
        <v>128000</v>
      </c>
      <c r="L337" s="10">
        <f>Table1[[#This Row],[تعداد دانلود]]+Table1[[#This Row],[تعداد تماشا ]]</f>
        <v>197</v>
      </c>
    </row>
    <row r="338" spans="1:12" ht="36" x14ac:dyDescent="0.25">
      <c r="A338" s="13">
        <v>273</v>
      </c>
      <c r="B338" s="13">
        <v>4590</v>
      </c>
      <c r="C338" s="13"/>
      <c r="D338" s="13" t="s">
        <v>492</v>
      </c>
      <c r="E338" s="13" t="s">
        <v>493</v>
      </c>
      <c r="F338" s="13" t="s">
        <v>402</v>
      </c>
      <c r="G338" s="13" t="s">
        <v>11</v>
      </c>
      <c r="H338" s="11">
        <v>93</v>
      </c>
      <c r="I338" s="11">
        <v>852</v>
      </c>
      <c r="J338" s="11">
        <v>35</v>
      </c>
      <c r="K338" s="11">
        <f>36000+80000+24000</f>
        <v>140000</v>
      </c>
      <c r="L338" s="10">
        <f>Table1[[#This Row],[تعداد دانلود]]+Table1[[#This Row],[تعداد تماشا ]]</f>
        <v>128</v>
      </c>
    </row>
    <row r="339" spans="1:12" ht="36" x14ac:dyDescent="0.25">
      <c r="A339" s="13">
        <v>274</v>
      </c>
      <c r="B339" s="13">
        <v>4548</v>
      </c>
      <c r="C339" s="13"/>
      <c r="D339" s="13" t="s">
        <v>494</v>
      </c>
      <c r="E339" s="13" t="s">
        <v>495</v>
      </c>
      <c r="F339" s="13" t="s">
        <v>402</v>
      </c>
      <c r="G339" s="13" t="s">
        <v>11</v>
      </c>
      <c r="H339" s="11">
        <v>942</v>
      </c>
      <c r="I339" s="11">
        <v>10546</v>
      </c>
      <c r="J339" s="11">
        <v>151</v>
      </c>
      <c r="K339" s="11">
        <f>158000+207000+78000</f>
        <v>443000</v>
      </c>
      <c r="L339" s="10">
        <f>Table1[[#This Row],[تعداد دانلود]]+Table1[[#This Row],[تعداد تماشا ]]</f>
        <v>1093</v>
      </c>
    </row>
    <row r="340" spans="1:12" ht="36" x14ac:dyDescent="0.25">
      <c r="A340" s="13">
        <v>275</v>
      </c>
      <c r="B340" s="13">
        <v>4928</v>
      </c>
      <c r="C340" s="13"/>
      <c r="D340" s="13" t="s">
        <v>496</v>
      </c>
      <c r="E340" s="13" t="s">
        <v>497</v>
      </c>
      <c r="F340" s="13" t="s">
        <v>402</v>
      </c>
      <c r="G340" s="13" t="s">
        <v>11</v>
      </c>
      <c r="H340" s="11">
        <v>416</v>
      </c>
      <c r="I340" s="11">
        <v>5606</v>
      </c>
      <c r="J340" s="11">
        <v>129</v>
      </c>
      <c r="K340" s="11">
        <f>225000+255000+185000</f>
        <v>665000</v>
      </c>
      <c r="L340" s="10">
        <f>Table1[[#This Row],[تعداد دانلود]]+Table1[[#This Row],[تعداد تماشا ]]</f>
        <v>545</v>
      </c>
    </row>
    <row r="341" spans="1:12" ht="36" x14ac:dyDescent="0.25">
      <c r="A341" s="13">
        <v>276</v>
      </c>
      <c r="B341" s="13">
        <v>5153</v>
      </c>
      <c r="C341" s="13"/>
      <c r="D341" s="13" t="s">
        <v>498</v>
      </c>
      <c r="E341" s="13" t="s">
        <v>499</v>
      </c>
      <c r="F341" s="13" t="s">
        <v>402</v>
      </c>
      <c r="G341" s="13" t="s">
        <v>11</v>
      </c>
      <c r="H341" s="11">
        <v>277</v>
      </c>
      <c r="I341" s="11">
        <v>3541</v>
      </c>
      <c r="J341" s="11">
        <v>50</v>
      </c>
      <c r="K341" s="11">
        <f>105000+72000+33000</f>
        <v>210000</v>
      </c>
      <c r="L341" s="10">
        <f>Table1[[#This Row],[تعداد دانلود]]+Table1[[#This Row],[تعداد تماشا ]]</f>
        <v>327</v>
      </c>
    </row>
    <row r="342" spans="1:12" x14ac:dyDescent="0.25">
      <c r="A342" s="13">
        <v>277</v>
      </c>
      <c r="B342" s="13">
        <v>5191</v>
      </c>
      <c r="C342" s="13"/>
      <c r="D342" s="13" t="s">
        <v>687</v>
      </c>
      <c r="E342" s="13" t="s">
        <v>500</v>
      </c>
      <c r="F342" s="13" t="s">
        <v>411</v>
      </c>
      <c r="G342" s="13" t="s">
        <v>11</v>
      </c>
      <c r="H342" s="11">
        <v>122</v>
      </c>
      <c r="I342" s="11">
        <v>1159</v>
      </c>
      <c r="J342" s="11">
        <v>24</v>
      </c>
      <c r="K342" s="11">
        <f>52500+19500+1500</f>
        <v>73500</v>
      </c>
      <c r="L342" s="10">
        <f>Table1[[#This Row],[تعداد دانلود]]+Table1[[#This Row],[تعداد تماشا ]]</f>
        <v>146</v>
      </c>
    </row>
    <row r="343" spans="1:12" x14ac:dyDescent="0.25">
      <c r="A343" s="13"/>
      <c r="B343" s="13">
        <v>5192</v>
      </c>
      <c r="C343" s="13"/>
      <c r="D343" s="13" t="s">
        <v>688</v>
      </c>
      <c r="E343" s="13" t="s">
        <v>500</v>
      </c>
      <c r="F343" s="13" t="s">
        <v>411</v>
      </c>
      <c r="G343" s="13" t="s">
        <v>11</v>
      </c>
      <c r="H343" s="11">
        <v>72</v>
      </c>
      <c r="I343" s="11">
        <v>765</v>
      </c>
      <c r="J343" s="11">
        <v>15</v>
      </c>
      <c r="K343" s="11">
        <f>37500+13500</f>
        <v>51000</v>
      </c>
      <c r="L343" s="10">
        <f>Table1[[#This Row],[تعداد دانلود]]+Table1[[#This Row],[تعداد تماشا ]]</f>
        <v>87</v>
      </c>
    </row>
    <row r="344" spans="1:12" x14ac:dyDescent="0.25">
      <c r="A344" s="13"/>
      <c r="B344" s="13">
        <v>5193</v>
      </c>
      <c r="C344" s="13"/>
      <c r="D344" s="13" t="s">
        <v>689</v>
      </c>
      <c r="E344" s="13" t="s">
        <v>500</v>
      </c>
      <c r="F344" s="13" t="s">
        <v>411</v>
      </c>
      <c r="G344" s="13" t="s">
        <v>11</v>
      </c>
      <c r="H344" s="11">
        <v>62</v>
      </c>
      <c r="I344" s="11">
        <v>660</v>
      </c>
      <c r="J344" s="11">
        <v>14</v>
      </c>
      <c r="K344" s="11">
        <f>37500+10500</f>
        <v>48000</v>
      </c>
      <c r="L344" s="10">
        <f>Table1[[#This Row],[تعداد دانلود]]+Table1[[#This Row],[تعداد تماشا ]]</f>
        <v>76</v>
      </c>
    </row>
    <row r="345" spans="1:12" x14ac:dyDescent="0.25">
      <c r="A345" s="13"/>
      <c r="B345" s="13">
        <v>5195</v>
      </c>
      <c r="C345" s="13"/>
      <c r="D345" s="13" t="s">
        <v>690</v>
      </c>
      <c r="E345" s="13" t="s">
        <v>500</v>
      </c>
      <c r="F345" s="13" t="s">
        <v>411</v>
      </c>
      <c r="G345" s="13" t="s">
        <v>11</v>
      </c>
      <c r="H345" s="11">
        <v>80</v>
      </c>
      <c r="I345" s="11">
        <v>449</v>
      </c>
      <c r="J345" s="11">
        <v>8</v>
      </c>
      <c r="K345" s="11">
        <f>21000+9000</f>
        <v>30000</v>
      </c>
      <c r="L345" s="10">
        <f>Table1[[#This Row],[تعداد دانلود]]+Table1[[#This Row],[تعداد تماشا ]]</f>
        <v>88</v>
      </c>
    </row>
    <row r="346" spans="1:12" x14ac:dyDescent="0.25">
      <c r="A346" s="13"/>
      <c r="B346" s="13">
        <v>5194</v>
      </c>
      <c r="C346" s="13"/>
      <c r="D346" s="13" t="s">
        <v>691</v>
      </c>
      <c r="E346" s="13" t="s">
        <v>500</v>
      </c>
      <c r="F346" s="13" t="s">
        <v>411</v>
      </c>
      <c r="G346" s="13" t="s">
        <v>11</v>
      </c>
      <c r="H346" s="11">
        <v>49</v>
      </c>
      <c r="I346" s="11">
        <v>526</v>
      </c>
      <c r="J346" s="11">
        <v>11</v>
      </c>
      <c r="K346" s="11">
        <v>39000</v>
      </c>
      <c r="L346" s="10">
        <f>Table1[[#This Row],[تعداد دانلود]]+Table1[[#This Row],[تعداد تماشا ]]</f>
        <v>60</v>
      </c>
    </row>
    <row r="347" spans="1:12" x14ac:dyDescent="0.25">
      <c r="A347" s="13"/>
      <c r="B347" s="13">
        <v>5196</v>
      </c>
      <c r="C347" s="13"/>
      <c r="D347" s="13" t="s">
        <v>692</v>
      </c>
      <c r="E347" s="13" t="s">
        <v>500</v>
      </c>
      <c r="F347" s="13" t="s">
        <v>411</v>
      </c>
      <c r="G347" s="13" t="s">
        <v>11</v>
      </c>
      <c r="H347" s="11">
        <v>78</v>
      </c>
      <c r="I347" s="11">
        <v>865</v>
      </c>
      <c r="J347" s="11">
        <v>9</v>
      </c>
      <c r="K347" s="11">
        <f>37500+12000</f>
        <v>49500</v>
      </c>
      <c r="L347" s="10">
        <f>Table1[[#This Row],[تعداد دانلود]]+Table1[[#This Row],[تعداد تماشا ]]</f>
        <v>87</v>
      </c>
    </row>
    <row r="348" spans="1:12" x14ac:dyDescent="0.25">
      <c r="A348" s="13">
        <v>278</v>
      </c>
      <c r="B348" s="13">
        <v>5197</v>
      </c>
      <c r="C348" s="13"/>
      <c r="D348" s="13" t="s">
        <v>501</v>
      </c>
      <c r="E348" s="13" t="s">
        <v>502</v>
      </c>
      <c r="F348" s="13" t="s">
        <v>403</v>
      </c>
      <c r="G348" s="13" t="s">
        <v>11</v>
      </c>
      <c r="H348" s="11">
        <v>43</v>
      </c>
      <c r="I348" s="11">
        <v>135</v>
      </c>
      <c r="J348" s="11">
        <v>30</v>
      </c>
      <c r="K348" s="11">
        <f>24000+32000+14000</f>
        <v>70000</v>
      </c>
      <c r="L348" s="10">
        <f>Table1[[#This Row],[تعداد دانلود]]+Table1[[#This Row],[تعداد تماشا ]]</f>
        <v>73</v>
      </c>
    </row>
    <row r="349" spans="1:12" ht="36" x14ac:dyDescent="0.25">
      <c r="A349" s="13">
        <v>279</v>
      </c>
      <c r="B349" s="13">
        <v>5277</v>
      </c>
      <c r="C349" s="13"/>
      <c r="D349" s="13" t="s">
        <v>503</v>
      </c>
      <c r="E349" s="13" t="s">
        <v>504</v>
      </c>
      <c r="F349" s="13" t="s">
        <v>402</v>
      </c>
      <c r="G349" s="13" t="s">
        <v>11</v>
      </c>
      <c r="H349" s="11">
        <v>193</v>
      </c>
      <c r="I349" s="11">
        <v>1737</v>
      </c>
      <c r="J349" s="11">
        <v>59</v>
      </c>
      <c r="K349" s="11">
        <f>45000+98000+33000</f>
        <v>176000</v>
      </c>
      <c r="L349" s="10">
        <f>Table1[[#This Row],[تعداد دانلود]]+Table1[[#This Row],[تعداد تماشا ]]</f>
        <v>252</v>
      </c>
    </row>
    <row r="350" spans="1:12" ht="36" x14ac:dyDescent="0.25">
      <c r="A350" s="13">
        <v>280</v>
      </c>
      <c r="B350" s="13">
        <v>5324</v>
      </c>
      <c r="C350" s="13">
        <v>40</v>
      </c>
      <c r="D350" s="13" t="s">
        <v>505</v>
      </c>
      <c r="E350" s="13" t="s">
        <v>506</v>
      </c>
      <c r="F350" s="13" t="s">
        <v>402</v>
      </c>
      <c r="G350" s="13" t="s">
        <v>16</v>
      </c>
      <c r="H350" s="11">
        <v>215</v>
      </c>
      <c r="I350" s="11">
        <v>2669</v>
      </c>
      <c r="J350" s="11">
        <v>49</v>
      </c>
      <c r="K350" s="11">
        <v>306000</v>
      </c>
      <c r="L350" s="10">
        <f>Table1[[#This Row],[تعداد دانلود]]+Table1[[#This Row],[تعداد تماشا ]]</f>
        <v>264</v>
      </c>
    </row>
    <row r="351" spans="1:12" x14ac:dyDescent="0.25">
      <c r="A351" s="13">
        <v>281</v>
      </c>
      <c r="B351" s="13">
        <v>5325</v>
      </c>
      <c r="C351" s="13"/>
      <c r="D351" s="13" t="s">
        <v>507</v>
      </c>
      <c r="E351" s="13" t="s">
        <v>508</v>
      </c>
      <c r="F351" s="13" t="s">
        <v>403</v>
      </c>
      <c r="G351" s="13" t="s">
        <v>11</v>
      </c>
      <c r="H351" s="11">
        <v>137</v>
      </c>
      <c r="I351" s="11">
        <v>1251</v>
      </c>
      <c r="J351" s="11">
        <v>28</v>
      </c>
      <c r="K351" s="11">
        <f>68000+40000+8000</f>
        <v>116000</v>
      </c>
      <c r="L351" s="10">
        <f>Table1[[#This Row],[تعداد دانلود]]+Table1[[#This Row],[تعداد تماشا ]]</f>
        <v>165</v>
      </c>
    </row>
    <row r="352" spans="1:12" x14ac:dyDescent="0.25">
      <c r="A352" s="13">
        <v>282</v>
      </c>
      <c r="B352" s="13">
        <v>5786</v>
      </c>
      <c r="C352" s="13"/>
      <c r="D352" s="13" t="s">
        <v>680</v>
      </c>
      <c r="E352" s="13" t="s">
        <v>509</v>
      </c>
      <c r="F352" s="13" t="s">
        <v>411</v>
      </c>
      <c r="G352" s="13" t="s">
        <v>11</v>
      </c>
      <c r="H352" s="11">
        <v>180</v>
      </c>
      <c r="I352" s="11">
        <v>1723</v>
      </c>
      <c r="J352" s="11">
        <v>22</v>
      </c>
      <c r="K352" s="11">
        <f>94500+25500+4500</f>
        <v>124500</v>
      </c>
      <c r="L352" s="10">
        <f>Table1[[#This Row],[تعداد دانلود]]+Table1[[#This Row],[تعداد تماشا ]]</f>
        <v>202</v>
      </c>
    </row>
    <row r="353" spans="1:12" x14ac:dyDescent="0.25">
      <c r="A353" s="13"/>
      <c r="B353" s="13">
        <v>5784</v>
      </c>
      <c r="C353" s="13"/>
      <c r="D353" s="13" t="s">
        <v>681</v>
      </c>
      <c r="E353" s="13" t="s">
        <v>509</v>
      </c>
      <c r="F353" s="13" t="s">
        <v>411</v>
      </c>
      <c r="G353" s="13" t="s">
        <v>11</v>
      </c>
      <c r="H353" s="11">
        <v>56</v>
      </c>
      <c r="I353" s="11">
        <v>648</v>
      </c>
      <c r="J353" s="11">
        <v>11</v>
      </c>
      <c r="K353" s="11">
        <f>34500+10500+1500</f>
        <v>46500</v>
      </c>
      <c r="L353" s="10">
        <f>Table1[[#This Row],[تعداد دانلود]]+Table1[[#This Row],[تعداد تماشا ]]</f>
        <v>67</v>
      </c>
    </row>
    <row r="354" spans="1:12" x14ac:dyDescent="0.25">
      <c r="A354" s="13"/>
      <c r="B354" s="13">
        <v>5785</v>
      </c>
      <c r="C354" s="13"/>
      <c r="D354" s="13" t="s">
        <v>682</v>
      </c>
      <c r="E354" s="13" t="s">
        <v>509</v>
      </c>
      <c r="F354" s="13" t="s">
        <v>411</v>
      </c>
      <c r="G354" s="13" t="s">
        <v>11</v>
      </c>
      <c r="H354" s="11">
        <v>31</v>
      </c>
      <c r="I354" s="11">
        <v>386</v>
      </c>
      <c r="J354" s="11">
        <v>8</v>
      </c>
      <c r="K354" s="11">
        <f>22500+9000+3000</f>
        <v>34500</v>
      </c>
      <c r="L354" s="10">
        <f>Table1[[#This Row],[تعداد دانلود]]+Table1[[#This Row],[تعداد تماشا ]]</f>
        <v>39</v>
      </c>
    </row>
    <row r="355" spans="1:12" x14ac:dyDescent="0.25">
      <c r="A355" s="13"/>
      <c r="B355" s="13">
        <v>5789</v>
      </c>
      <c r="C355" s="13"/>
      <c r="D355" s="13" t="s">
        <v>683</v>
      </c>
      <c r="E355" s="13" t="s">
        <v>509</v>
      </c>
      <c r="F355" s="13" t="s">
        <v>411</v>
      </c>
      <c r="G355" s="13" t="s">
        <v>11</v>
      </c>
      <c r="H355" s="11">
        <v>27</v>
      </c>
      <c r="I355" s="11">
        <v>343</v>
      </c>
      <c r="J355" s="11">
        <v>4</v>
      </c>
      <c r="K355" s="11">
        <f>22500+6000</f>
        <v>28500</v>
      </c>
      <c r="L355" s="10">
        <f>Table1[[#This Row],[تعداد دانلود]]+Table1[[#This Row],[تعداد تماشا ]]</f>
        <v>31</v>
      </c>
    </row>
    <row r="356" spans="1:12" x14ac:dyDescent="0.25">
      <c r="A356" s="13"/>
      <c r="B356" s="13">
        <v>5790</v>
      </c>
      <c r="C356" s="13"/>
      <c r="D356" s="13" t="s">
        <v>684</v>
      </c>
      <c r="E356" s="13" t="s">
        <v>509</v>
      </c>
      <c r="F356" s="13" t="s">
        <v>411</v>
      </c>
      <c r="G356" s="13" t="s">
        <v>11</v>
      </c>
      <c r="H356" s="11">
        <v>31</v>
      </c>
      <c r="I356" s="11">
        <v>188</v>
      </c>
      <c r="J356" s="11">
        <v>8</v>
      </c>
      <c r="K356" s="11">
        <f>21000+7500</f>
        <v>28500</v>
      </c>
      <c r="L356" s="10">
        <f>Table1[[#This Row],[تعداد دانلود]]+Table1[[#This Row],[تعداد تماشا ]]</f>
        <v>39</v>
      </c>
    </row>
    <row r="357" spans="1:12" x14ac:dyDescent="0.25">
      <c r="A357" s="13"/>
      <c r="B357" s="13">
        <v>5787</v>
      </c>
      <c r="C357" s="13"/>
      <c r="D357" s="13" t="s">
        <v>685</v>
      </c>
      <c r="E357" s="13" t="s">
        <v>509</v>
      </c>
      <c r="F357" s="13" t="s">
        <v>411</v>
      </c>
      <c r="G357" s="13" t="s">
        <v>11</v>
      </c>
      <c r="H357" s="11">
        <v>28</v>
      </c>
      <c r="I357" s="11">
        <v>259</v>
      </c>
      <c r="J357" s="11">
        <v>6</v>
      </c>
      <c r="K357" s="11">
        <f>16500+7500</f>
        <v>24000</v>
      </c>
      <c r="L357" s="10">
        <f>Table1[[#This Row],[تعداد دانلود]]+Table1[[#This Row],[تعداد تماشا ]]</f>
        <v>34</v>
      </c>
    </row>
    <row r="358" spans="1:12" x14ac:dyDescent="0.25">
      <c r="A358" s="13"/>
      <c r="B358" s="13">
        <v>5788</v>
      </c>
      <c r="C358" s="13"/>
      <c r="D358" s="13" t="s">
        <v>686</v>
      </c>
      <c r="E358" s="13" t="s">
        <v>509</v>
      </c>
      <c r="F358" s="13" t="s">
        <v>411</v>
      </c>
      <c r="G358" s="13" t="s">
        <v>11</v>
      </c>
      <c r="H358" s="11">
        <v>40</v>
      </c>
      <c r="I358" s="11">
        <v>572</v>
      </c>
      <c r="J358" s="11">
        <v>4</v>
      </c>
      <c r="K358" s="11">
        <f>30000</f>
        <v>30000</v>
      </c>
      <c r="L358" s="10">
        <f>Table1[[#This Row],[تعداد دانلود]]+Table1[[#This Row],[تعداد تماشا ]]</f>
        <v>44</v>
      </c>
    </row>
    <row r="359" spans="1:12" ht="36" x14ac:dyDescent="0.25">
      <c r="A359" s="13">
        <v>283</v>
      </c>
      <c r="B359" s="13">
        <v>5930</v>
      </c>
      <c r="C359" s="13"/>
      <c r="D359" s="13" t="s">
        <v>510</v>
      </c>
      <c r="E359" s="13" t="s">
        <v>511</v>
      </c>
      <c r="F359" s="13" t="s">
        <v>402</v>
      </c>
      <c r="G359" s="13" t="s">
        <v>11</v>
      </c>
      <c r="H359" s="11">
        <v>309</v>
      </c>
      <c r="I359" s="11">
        <v>3176</v>
      </c>
      <c r="J359" s="11">
        <v>111</v>
      </c>
      <c r="K359" s="11">
        <f>132000+188000+104000</f>
        <v>424000</v>
      </c>
      <c r="L359" s="10">
        <f>Table1[[#This Row],[تعداد دانلود]]+Table1[[#This Row],[تعداد تماشا ]]</f>
        <v>420</v>
      </c>
    </row>
    <row r="360" spans="1:12" x14ac:dyDescent="0.25">
      <c r="A360" s="13">
        <v>284</v>
      </c>
      <c r="B360" s="13">
        <v>6132</v>
      </c>
      <c r="C360" s="13"/>
      <c r="D360" s="13" t="s">
        <v>664</v>
      </c>
      <c r="E360" s="13" t="s">
        <v>512</v>
      </c>
      <c r="F360" s="13" t="s">
        <v>411</v>
      </c>
      <c r="G360" s="13" t="s">
        <v>379</v>
      </c>
      <c r="H360" s="11">
        <v>93</v>
      </c>
      <c r="I360" s="11">
        <v>189</v>
      </c>
      <c r="J360" s="11">
        <v>10</v>
      </c>
      <c r="K360" s="11">
        <v>52000</v>
      </c>
      <c r="L360" s="10">
        <f>Table1[[#This Row],[تعداد دانلود]]+Table1[[#This Row],[تعداد تماشا ]]</f>
        <v>103</v>
      </c>
    </row>
    <row r="361" spans="1:12" x14ac:dyDescent="0.25">
      <c r="A361" s="13"/>
      <c r="B361" s="13">
        <v>6133</v>
      </c>
      <c r="C361" s="13"/>
      <c r="D361" s="13" t="s">
        <v>665</v>
      </c>
      <c r="E361" s="13" t="s">
        <v>512</v>
      </c>
      <c r="F361" s="13" t="s">
        <v>411</v>
      </c>
      <c r="G361" s="13" t="s">
        <v>379</v>
      </c>
      <c r="H361" s="11">
        <v>37</v>
      </c>
      <c r="I361" s="11">
        <v>76</v>
      </c>
      <c r="J361" s="11">
        <v>4</v>
      </c>
      <c r="K361" s="11">
        <f>23000+3000+1000</f>
        <v>27000</v>
      </c>
      <c r="L361" s="10">
        <f>Table1[[#This Row],[تعداد دانلود]]+Table1[[#This Row],[تعداد تماشا ]]</f>
        <v>41</v>
      </c>
    </row>
    <row r="362" spans="1:12" x14ac:dyDescent="0.25">
      <c r="A362" s="13"/>
      <c r="B362" s="13">
        <v>6134</v>
      </c>
      <c r="C362" s="13"/>
      <c r="D362" s="13" t="s">
        <v>666</v>
      </c>
      <c r="E362" s="13" t="s">
        <v>512</v>
      </c>
      <c r="F362" s="13" t="s">
        <v>411</v>
      </c>
      <c r="G362" s="13" t="s">
        <v>379</v>
      </c>
      <c r="H362" s="11">
        <v>44</v>
      </c>
      <c r="I362" s="11">
        <v>71</v>
      </c>
      <c r="J362" s="11">
        <v>5</v>
      </c>
      <c r="K362" s="11">
        <f>14000+3000</f>
        <v>17000</v>
      </c>
      <c r="L362" s="10">
        <f>Table1[[#This Row],[تعداد دانلود]]+Table1[[#This Row],[تعداد تماشا ]]</f>
        <v>49</v>
      </c>
    </row>
    <row r="363" spans="1:12" x14ac:dyDescent="0.25">
      <c r="A363" s="13"/>
      <c r="B363" s="13">
        <v>6135</v>
      </c>
      <c r="C363" s="13"/>
      <c r="D363" s="13" t="s">
        <v>667</v>
      </c>
      <c r="E363" s="13" t="s">
        <v>512</v>
      </c>
      <c r="F363" s="13" t="s">
        <v>411</v>
      </c>
      <c r="G363" s="13" t="s">
        <v>379</v>
      </c>
      <c r="H363" s="11">
        <v>26</v>
      </c>
      <c r="I363" s="11">
        <v>4</v>
      </c>
      <c r="J363" s="11">
        <v>3</v>
      </c>
      <c r="K363" s="11">
        <f>14000</f>
        <v>14000</v>
      </c>
      <c r="L363" s="10">
        <f>Table1[[#This Row],[تعداد دانلود]]+Table1[[#This Row],[تعداد تماشا ]]</f>
        <v>29</v>
      </c>
    </row>
    <row r="364" spans="1:12" x14ac:dyDescent="0.25">
      <c r="A364" s="13"/>
      <c r="B364" s="13">
        <v>6136</v>
      </c>
      <c r="C364" s="13"/>
      <c r="D364" s="13" t="s">
        <v>668</v>
      </c>
      <c r="E364" s="13" t="s">
        <v>512</v>
      </c>
      <c r="F364" s="13" t="s">
        <v>411</v>
      </c>
      <c r="G364" s="13" t="s">
        <v>379</v>
      </c>
      <c r="H364" s="11">
        <v>24</v>
      </c>
      <c r="I364" s="11">
        <v>67</v>
      </c>
      <c r="J364" s="11">
        <v>4</v>
      </c>
      <c r="K364" s="11">
        <f>20000</f>
        <v>20000</v>
      </c>
      <c r="L364" s="10">
        <f>Table1[[#This Row],[تعداد دانلود]]+Table1[[#This Row],[تعداد تماشا ]]</f>
        <v>28</v>
      </c>
    </row>
    <row r="365" spans="1:12" x14ac:dyDescent="0.25">
      <c r="A365" s="13">
        <v>285</v>
      </c>
      <c r="B365" s="13">
        <v>6138</v>
      </c>
      <c r="C365" s="13"/>
      <c r="D365" s="13" t="s">
        <v>669</v>
      </c>
      <c r="E365" s="13" t="s">
        <v>513</v>
      </c>
      <c r="F365" s="13" t="s">
        <v>411</v>
      </c>
      <c r="G365" s="13" t="s">
        <v>379</v>
      </c>
      <c r="H365" s="11">
        <v>43</v>
      </c>
      <c r="I365" s="11">
        <v>71</v>
      </c>
      <c r="J365" s="11">
        <v>24</v>
      </c>
      <c r="K365" s="11">
        <v>5000</v>
      </c>
      <c r="L365" s="10">
        <f>Table1[[#This Row],[تعداد دانلود]]+Table1[[#This Row],[تعداد تماشا ]]</f>
        <v>67</v>
      </c>
    </row>
    <row r="366" spans="1:12" x14ac:dyDescent="0.25">
      <c r="A366" s="13"/>
      <c r="B366" s="13">
        <v>6139</v>
      </c>
      <c r="C366" s="13"/>
      <c r="D366" s="13" t="s">
        <v>670</v>
      </c>
      <c r="E366" s="13" t="s">
        <v>513</v>
      </c>
      <c r="F366" s="13" t="s">
        <v>411</v>
      </c>
      <c r="G366" s="13" t="s">
        <v>379</v>
      </c>
      <c r="H366" s="11">
        <v>25</v>
      </c>
      <c r="I366" s="11">
        <v>49</v>
      </c>
      <c r="J366" s="11">
        <v>5</v>
      </c>
      <c r="K366" s="11">
        <v>29000</v>
      </c>
      <c r="L366" s="10">
        <f>Table1[[#This Row],[تعداد دانلود]]+Table1[[#This Row],[تعداد تماشا ]]</f>
        <v>30</v>
      </c>
    </row>
    <row r="367" spans="1:12" x14ac:dyDescent="0.25">
      <c r="A367" s="13"/>
      <c r="B367" s="13">
        <v>6140</v>
      </c>
      <c r="C367" s="13"/>
      <c r="D367" s="13" t="s">
        <v>671</v>
      </c>
      <c r="E367" s="13" t="s">
        <v>513</v>
      </c>
      <c r="F367" s="13" t="s">
        <v>411</v>
      </c>
      <c r="G367" s="13" t="s">
        <v>379</v>
      </c>
      <c r="H367" s="11">
        <v>18</v>
      </c>
      <c r="I367" s="11">
        <v>30</v>
      </c>
      <c r="J367" s="11">
        <v>4</v>
      </c>
      <c r="K367" s="11">
        <v>16000</v>
      </c>
      <c r="L367" s="10">
        <f>Table1[[#This Row],[تعداد دانلود]]+Table1[[#This Row],[تعداد تماشا ]]</f>
        <v>22</v>
      </c>
    </row>
    <row r="368" spans="1:12" x14ac:dyDescent="0.25">
      <c r="A368" s="13"/>
      <c r="B368" s="13">
        <v>6141</v>
      </c>
      <c r="C368" s="13"/>
      <c r="D368" s="13" t="s">
        <v>672</v>
      </c>
      <c r="E368" s="13" t="s">
        <v>513</v>
      </c>
      <c r="F368" s="13" t="s">
        <v>411</v>
      </c>
      <c r="G368" s="13" t="s">
        <v>379</v>
      </c>
      <c r="H368" s="11">
        <v>17</v>
      </c>
      <c r="I368" s="11">
        <v>24</v>
      </c>
      <c r="J368" s="11">
        <v>5</v>
      </c>
      <c r="K368" s="11">
        <v>13000</v>
      </c>
      <c r="L368" s="10">
        <f>Table1[[#This Row],[تعداد دانلود]]+Table1[[#This Row],[تعداد تماشا ]]</f>
        <v>22</v>
      </c>
    </row>
    <row r="369" spans="1:12" x14ac:dyDescent="0.25">
      <c r="A369" s="13"/>
      <c r="B369" s="13">
        <v>6143</v>
      </c>
      <c r="C369" s="13"/>
      <c r="D369" s="13" t="s">
        <v>673</v>
      </c>
      <c r="E369" s="13" t="s">
        <v>513</v>
      </c>
      <c r="F369" s="13" t="s">
        <v>411</v>
      </c>
      <c r="G369" s="13" t="s">
        <v>379</v>
      </c>
      <c r="H369" s="11">
        <v>13</v>
      </c>
      <c r="I369" s="11">
        <v>13</v>
      </c>
      <c r="J369" s="11">
        <v>6</v>
      </c>
      <c r="K369" s="11">
        <v>11000</v>
      </c>
      <c r="L369" s="10">
        <f>Table1[[#This Row],[تعداد دانلود]]+Table1[[#This Row],[تعداد تماشا ]]</f>
        <v>19</v>
      </c>
    </row>
    <row r="370" spans="1:12" x14ac:dyDescent="0.25">
      <c r="A370" s="13"/>
      <c r="B370" s="13">
        <v>6142</v>
      </c>
      <c r="C370" s="13"/>
      <c r="D370" s="13" t="s">
        <v>674</v>
      </c>
      <c r="E370" s="13" t="s">
        <v>513</v>
      </c>
      <c r="F370" s="13" t="s">
        <v>411</v>
      </c>
      <c r="G370" s="13" t="s">
        <v>379</v>
      </c>
      <c r="H370" s="11">
        <v>14</v>
      </c>
      <c r="I370" s="11">
        <v>18</v>
      </c>
      <c r="J370" s="11">
        <v>3</v>
      </c>
      <c r="K370" s="11">
        <v>16000</v>
      </c>
      <c r="L370" s="10">
        <f>Table1[[#This Row],[تعداد دانلود]]+Table1[[#This Row],[تعداد تماشا ]]</f>
        <v>17</v>
      </c>
    </row>
    <row r="371" spans="1:12" x14ac:dyDescent="0.25">
      <c r="A371" s="13"/>
      <c r="B371" s="13">
        <v>6146</v>
      </c>
      <c r="C371" s="13"/>
      <c r="D371" s="13" t="s">
        <v>675</v>
      </c>
      <c r="E371" s="13" t="s">
        <v>513</v>
      </c>
      <c r="F371" s="13" t="s">
        <v>411</v>
      </c>
      <c r="G371" s="13" t="s">
        <v>379</v>
      </c>
      <c r="H371" s="11">
        <v>16</v>
      </c>
      <c r="I371" s="11">
        <v>16</v>
      </c>
      <c r="J371" s="11">
        <v>5</v>
      </c>
      <c r="K371" s="11">
        <v>15000</v>
      </c>
      <c r="L371" s="10">
        <f>Table1[[#This Row],[تعداد دانلود]]+Table1[[#This Row],[تعداد تماشا ]]</f>
        <v>21</v>
      </c>
    </row>
    <row r="372" spans="1:12" x14ac:dyDescent="0.25">
      <c r="A372" s="13"/>
      <c r="B372" s="13">
        <v>6144</v>
      </c>
      <c r="C372" s="13"/>
      <c r="D372" s="13" t="s">
        <v>676</v>
      </c>
      <c r="E372" s="13" t="s">
        <v>513</v>
      </c>
      <c r="F372" s="13" t="s">
        <v>411</v>
      </c>
      <c r="G372" s="13" t="s">
        <v>379</v>
      </c>
      <c r="H372" s="11">
        <v>8</v>
      </c>
      <c r="I372" s="11">
        <v>8</v>
      </c>
      <c r="J372" s="11">
        <v>4</v>
      </c>
      <c r="K372" s="11">
        <v>15000</v>
      </c>
      <c r="L372" s="10">
        <f>Table1[[#This Row],[تعداد دانلود]]+Table1[[#This Row],[تعداد تماشا ]]</f>
        <v>12</v>
      </c>
    </row>
    <row r="373" spans="1:12" x14ac:dyDescent="0.25">
      <c r="A373" s="13"/>
      <c r="B373" s="13">
        <v>6145</v>
      </c>
      <c r="C373" s="13"/>
      <c r="D373" s="13" t="s">
        <v>677</v>
      </c>
      <c r="E373" s="13" t="s">
        <v>513</v>
      </c>
      <c r="F373" s="13" t="s">
        <v>411</v>
      </c>
      <c r="G373" s="13" t="s">
        <v>379</v>
      </c>
      <c r="H373" s="11">
        <v>9</v>
      </c>
      <c r="I373" s="11">
        <v>10</v>
      </c>
      <c r="J373" s="11">
        <v>9</v>
      </c>
      <c r="K373" s="11">
        <v>5000</v>
      </c>
      <c r="L373" s="10">
        <f>Table1[[#This Row],[تعداد دانلود]]+Table1[[#This Row],[تعداد تماشا ]]</f>
        <v>18</v>
      </c>
    </row>
    <row r="374" spans="1:12" x14ac:dyDescent="0.25">
      <c r="A374" s="13"/>
      <c r="B374" s="13">
        <v>6147</v>
      </c>
      <c r="C374" s="13"/>
      <c r="D374" s="13" t="s">
        <v>678</v>
      </c>
      <c r="E374" s="13" t="s">
        <v>513</v>
      </c>
      <c r="F374" s="13" t="s">
        <v>411</v>
      </c>
      <c r="G374" s="13" t="s">
        <v>379</v>
      </c>
      <c r="H374" s="11">
        <v>10</v>
      </c>
      <c r="I374" s="11">
        <v>8</v>
      </c>
      <c r="J374" s="11">
        <v>9</v>
      </c>
      <c r="K374" s="11">
        <v>5000</v>
      </c>
      <c r="L374" s="10">
        <f>Table1[[#This Row],[تعداد دانلود]]+Table1[[#This Row],[تعداد تماشا ]]</f>
        <v>19</v>
      </c>
    </row>
    <row r="375" spans="1:12" x14ac:dyDescent="0.25">
      <c r="A375" s="13"/>
      <c r="B375" s="13">
        <v>6148</v>
      </c>
      <c r="C375" s="13"/>
      <c r="D375" s="13" t="s">
        <v>679</v>
      </c>
      <c r="E375" s="13" t="s">
        <v>513</v>
      </c>
      <c r="F375" s="13" t="s">
        <v>411</v>
      </c>
      <c r="G375" s="13" t="s">
        <v>379</v>
      </c>
      <c r="H375" s="11">
        <v>9</v>
      </c>
      <c r="I375" s="11">
        <v>7</v>
      </c>
      <c r="J375" s="11">
        <v>7</v>
      </c>
      <c r="K375" s="11">
        <v>10000</v>
      </c>
      <c r="L375" s="10">
        <f>Table1[[#This Row],[تعداد دانلود]]+Table1[[#This Row],[تعداد تماشا ]]</f>
        <v>16</v>
      </c>
    </row>
    <row r="376" spans="1:12" ht="36" x14ac:dyDescent="0.25">
      <c r="A376" s="13">
        <v>286</v>
      </c>
      <c r="B376" s="13">
        <v>6300</v>
      </c>
      <c r="C376" s="13"/>
      <c r="D376" s="13" t="s">
        <v>514</v>
      </c>
      <c r="E376" s="13" t="s">
        <v>515</v>
      </c>
      <c r="F376" s="13" t="s">
        <v>402</v>
      </c>
      <c r="G376" s="13" t="s">
        <v>11</v>
      </c>
      <c r="H376" s="11">
        <v>299</v>
      </c>
      <c r="I376" s="11">
        <v>2543</v>
      </c>
      <c r="J376" s="11">
        <v>106</v>
      </c>
      <c r="K376" s="11">
        <f>61000+126000+54000</f>
        <v>241000</v>
      </c>
      <c r="L376" s="10">
        <f>Table1[[#This Row],[تعداد دانلود]]+Table1[[#This Row],[تعداد تماشا ]]</f>
        <v>405</v>
      </c>
    </row>
    <row r="377" spans="1:12" x14ac:dyDescent="0.25">
      <c r="A377" s="13">
        <v>287</v>
      </c>
      <c r="B377" s="13">
        <v>6302</v>
      </c>
      <c r="C377" s="13"/>
      <c r="D377" s="13" t="s">
        <v>659</v>
      </c>
      <c r="E377" s="13" t="s">
        <v>516</v>
      </c>
      <c r="F377" s="13" t="s">
        <v>411</v>
      </c>
      <c r="G377" s="13" t="s">
        <v>11</v>
      </c>
      <c r="H377" s="11">
        <v>154</v>
      </c>
      <c r="I377" s="11">
        <v>310</v>
      </c>
      <c r="J377" s="11">
        <v>20</v>
      </c>
      <c r="K377" s="11">
        <f>116000+24000+6000</f>
        <v>146000</v>
      </c>
      <c r="L377" s="10">
        <f>Table1[[#This Row],[تعداد دانلود]]+Table1[[#This Row],[تعداد تماشا ]]</f>
        <v>174</v>
      </c>
    </row>
    <row r="378" spans="1:12" x14ac:dyDescent="0.25">
      <c r="A378" s="13"/>
      <c r="B378" s="13">
        <v>6303</v>
      </c>
      <c r="C378" s="13"/>
      <c r="D378" s="13" t="s">
        <v>660</v>
      </c>
      <c r="E378" s="13" t="s">
        <v>516</v>
      </c>
      <c r="F378" s="13" t="s">
        <v>411</v>
      </c>
      <c r="G378" s="13" t="s">
        <v>11</v>
      </c>
      <c r="H378" s="11">
        <v>68</v>
      </c>
      <c r="I378" s="11">
        <v>142</v>
      </c>
      <c r="J378" s="11">
        <v>9</v>
      </c>
      <c r="K378" s="11">
        <f>56000+16000</f>
        <v>72000</v>
      </c>
      <c r="L378" s="10">
        <f>Table1[[#This Row],[تعداد دانلود]]+Table1[[#This Row],[تعداد تماشا ]]</f>
        <v>77</v>
      </c>
    </row>
    <row r="379" spans="1:12" x14ac:dyDescent="0.25">
      <c r="A379" s="13"/>
      <c r="B379" s="13">
        <v>6304</v>
      </c>
      <c r="C379" s="13"/>
      <c r="D379" s="13" t="s">
        <v>661</v>
      </c>
      <c r="E379" s="13" t="s">
        <v>516</v>
      </c>
      <c r="F379" s="13" t="s">
        <v>411</v>
      </c>
      <c r="G379" s="13" t="s">
        <v>11</v>
      </c>
      <c r="H379" s="11">
        <v>54</v>
      </c>
      <c r="I379" s="11">
        <v>94</v>
      </c>
      <c r="J379" s="11">
        <v>5</v>
      </c>
      <c r="K379" s="11">
        <v>48000</v>
      </c>
      <c r="L379" s="10">
        <f>Table1[[#This Row],[تعداد دانلود]]+Table1[[#This Row],[تعداد تماشا ]]</f>
        <v>59</v>
      </c>
    </row>
    <row r="380" spans="1:12" x14ac:dyDescent="0.25">
      <c r="A380" s="13"/>
      <c r="B380" s="13">
        <v>6306</v>
      </c>
      <c r="C380" s="13"/>
      <c r="D380" s="13" t="s">
        <v>662</v>
      </c>
      <c r="E380" s="13" t="s">
        <v>516</v>
      </c>
      <c r="F380" s="13" t="s">
        <v>411</v>
      </c>
      <c r="G380" s="13" t="s">
        <v>11</v>
      </c>
      <c r="H380" s="11">
        <v>49</v>
      </c>
      <c r="I380" s="11">
        <v>122</v>
      </c>
      <c r="J380" s="11">
        <v>3</v>
      </c>
      <c r="K380" s="11">
        <v>48000</v>
      </c>
      <c r="L380" s="10">
        <f>Table1[[#This Row],[تعداد دانلود]]+Table1[[#This Row],[تعداد تماشا ]]</f>
        <v>52</v>
      </c>
    </row>
    <row r="381" spans="1:12" x14ac:dyDescent="0.25">
      <c r="A381" s="13"/>
      <c r="B381" s="13">
        <v>6305</v>
      </c>
      <c r="C381" s="13"/>
      <c r="D381" s="13" t="s">
        <v>663</v>
      </c>
      <c r="E381" s="13" t="s">
        <v>516</v>
      </c>
      <c r="F381" s="13" t="s">
        <v>411</v>
      </c>
      <c r="G381" s="13" t="s">
        <v>11</v>
      </c>
      <c r="H381" s="11">
        <v>56</v>
      </c>
      <c r="I381" s="11">
        <v>115</v>
      </c>
      <c r="J381" s="11">
        <v>3</v>
      </c>
      <c r="K381" s="11">
        <v>44000</v>
      </c>
      <c r="L381" s="10">
        <f>Table1[[#This Row],[تعداد دانلود]]+Table1[[#This Row],[تعداد تماشا ]]</f>
        <v>59</v>
      </c>
    </row>
    <row r="382" spans="1:12" ht="36" x14ac:dyDescent="0.25">
      <c r="A382" s="13">
        <v>288</v>
      </c>
      <c r="B382" s="13">
        <v>6307</v>
      </c>
      <c r="C382" s="13"/>
      <c r="D382" s="13" t="s">
        <v>517</v>
      </c>
      <c r="E382" s="13" t="s">
        <v>518</v>
      </c>
      <c r="F382" s="13" t="s">
        <v>402</v>
      </c>
      <c r="G382" s="13" t="s">
        <v>11</v>
      </c>
      <c r="H382" s="11">
        <v>169</v>
      </c>
      <c r="I382" s="11">
        <v>2101</v>
      </c>
      <c r="J382" s="11">
        <v>36</v>
      </c>
      <c r="K382" s="11">
        <f>48000+45000+24000</f>
        <v>117000</v>
      </c>
      <c r="L382" s="10">
        <f>Table1[[#This Row],[تعداد دانلود]]+Table1[[#This Row],[تعداد تماشا ]]</f>
        <v>205</v>
      </c>
    </row>
    <row r="383" spans="1:12" ht="36" x14ac:dyDescent="0.25">
      <c r="A383" s="13">
        <v>289</v>
      </c>
      <c r="B383" s="13">
        <v>6389</v>
      </c>
      <c r="C383" s="13"/>
      <c r="D383" s="13" t="s">
        <v>519</v>
      </c>
      <c r="E383" s="13" t="s">
        <v>520</v>
      </c>
      <c r="F383" s="13" t="s">
        <v>402</v>
      </c>
      <c r="G383" s="13" t="s">
        <v>11</v>
      </c>
      <c r="H383" s="11">
        <v>515</v>
      </c>
      <c r="I383" s="11">
        <v>5843</v>
      </c>
      <c r="J383" s="11">
        <v>61</v>
      </c>
      <c r="K383" s="11">
        <f>120000+105000+21000</f>
        <v>246000</v>
      </c>
      <c r="L383" s="10">
        <f>Table1[[#This Row],[تعداد دانلود]]+Table1[[#This Row],[تعداد تماشا ]]</f>
        <v>576</v>
      </c>
    </row>
    <row r="384" spans="1:12" ht="36" x14ac:dyDescent="0.25">
      <c r="A384" s="13">
        <v>290</v>
      </c>
      <c r="B384" s="13">
        <v>6480</v>
      </c>
      <c r="C384" s="13"/>
      <c r="D384" s="13" t="s">
        <v>521</v>
      </c>
      <c r="E384" s="13" t="s">
        <v>522</v>
      </c>
      <c r="F384" s="13" t="s">
        <v>402</v>
      </c>
      <c r="G384" s="13" t="s">
        <v>16</v>
      </c>
      <c r="H384" s="11">
        <v>820</v>
      </c>
      <c r="I384" s="11">
        <v>2327</v>
      </c>
      <c r="J384" s="11">
        <v>230</v>
      </c>
      <c r="K384" s="11">
        <f>44000+275000+216000</f>
        <v>535000</v>
      </c>
      <c r="L384" s="10">
        <f>Table1[[#This Row],[تعداد دانلود]]+Table1[[#This Row],[تعداد تماشا ]]</f>
        <v>1050</v>
      </c>
    </row>
    <row r="385" spans="1:12" ht="36" x14ac:dyDescent="0.25">
      <c r="A385" s="13">
        <v>291</v>
      </c>
      <c r="B385" s="13">
        <v>6483</v>
      </c>
      <c r="C385" s="13"/>
      <c r="D385" s="13" t="s">
        <v>523</v>
      </c>
      <c r="E385" s="13" t="s">
        <v>524</v>
      </c>
      <c r="F385" s="13" t="s">
        <v>402</v>
      </c>
      <c r="G385" s="13" t="s">
        <v>16</v>
      </c>
      <c r="H385" s="11">
        <v>137</v>
      </c>
      <c r="I385" s="11">
        <v>460</v>
      </c>
      <c r="J385" s="11">
        <v>42</v>
      </c>
      <c r="K385" s="11">
        <f>18000+120000+30000</f>
        <v>168000</v>
      </c>
      <c r="L385" s="10">
        <f>Table1[[#This Row],[تعداد دانلود]]+Table1[[#This Row],[تعداد تماشا ]]</f>
        <v>179</v>
      </c>
    </row>
    <row r="386" spans="1:12" x14ac:dyDescent="0.25">
      <c r="A386" s="13">
        <v>292</v>
      </c>
      <c r="B386" s="13">
        <v>6673</v>
      </c>
      <c r="C386" s="13">
        <v>22</v>
      </c>
      <c r="D386" s="13" t="s">
        <v>525</v>
      </c>
      <c r="E386" s="13" t="s">
        <v>526</v>
      </c>
      <c r="F386" s="13" t="s">
        <v>403</v>
      </c>
      <c r="G386" s="13" t="s">
        <v>379</v>
      </c>
      <c r="H386" s="11">
        <v>177</v>
      </c>
      <c r="I386" s="11">
        <v>786</v>
      </c>
      <c r="J386" s="11">
        <v>38</v>
      </c>
      <c r="K386" s="11">
        <v>583000</v>
      </c>
      <c r="L386" s="10">
        <f>Table1[[#This Row],[تعداد دانلود]]+Table1[[#This Row],[تعداد تماشا ]]</f>
        <v>215</v>
      </c>
    </row>
    <row r="387" spans="1:12" x14ac:dyDescent="0.25">
      <c r="A387" s="13">
        <v>293</v>
      </c>
      <c r="B387" s="13">
        <v>6715</v>
      </c>
      <c r="C387" s="13"/>
      <c r="D387" s="13" t="s">
        <v>527</v>
      </c>
      <c r="E387" s="13" t="s">
        <v>528</v>
      </c>
      <c r="F387" s="13" t="s">
        <v>411</v>
      </c>
      <c r="G387" s="13" t="s">
        <v>379</v>
      </c>
      <c r="H387" s="11">
        <v>951</v>
      </c>
      <c r="I387" s="11">
        <v>3986</v>
      </c>
      <c r="J387" s="11">
        <v>85</v>
      </c>
      <c r="K387" s="11">
        <v>0</v>
      </c>
      <c r="L387" s="10">
        <f>Table1[[#This Row],[تعداد دانلود]]+Table1[[#This Row],[تعداد تماشا ]]</f>
        <v>1036</v>
      </c>
    </row>
    <row r="388" spans="1:12" ht="36" x14ac:dyDescent="0.25">
      <c r="A388" s="13">
        <v>294</v>
      </c>
      <c r="B388" s="13">
        <v>6821</v>
      </c>
      <c r="C388" s="13"/>
      <c r="D388" s="13" t="s">
        <v>529</v>
      </c>
      <c r="E388" s="13" t="s">
        <v>530</v>
      </c>
      <c r="F388" s="13" t="s">
        <v>402</v>
      </c>
      <c r="G388" s="13" t="s">
        <v>16</v>
      </c>
      <c r="H388" s="11">
        <v>382</v>
      </c>
      <c r="I388" s="11">
        <v>2901</v>
      </c>
      <c r="J388" s="11">
        <v>61</v>
      </c>
      <c r="K388" s="11">
        <f>39000+93000+37000</f>
        <v>169000</v>
      </c>
      <c r="L388" s="10">
        <f>Table1[[#This Row],[تعداد دانلود]]+Table1[[#This Row],[تعداد تماشا ]]</f>
        <v>443</v>
      </c>
    </row>
    <row r="389" spans="1:12" ht="36" x14ac:dyDescent="0.25">
      <c r="A389" s="13">
        <v>295</v>
      </c>
      <c r="B389" s="13">
        <v>6838</v>
      </c>
      <c r="C389" s="13"/>
      <c r="D389" s="13" t="s">
        <v>531</v>
      </c>
      <c r="E389" s="13" t="s">
        <v>532</v>
      </c>
      <c r="F389" s="13" t="s">
        <v>402</v>
      </c>
      <c r="G389" s="13" t="s">
        <v>11</v>
      </c>
      <c r="H389" s="11">
        <v>357</v>
      </c>
      <c r="I389" s="11">
        <v>4097</v>
      </c>
      <c r="J389" s="11">
        <v>43</v>
      </c>
      <c r="K389" s="11">
        <f>112000+60000+36000</f>
        <v>208000</v>
      </c>
      <c r="L389" s="10">
        <f>Table1[[#This Row],[تعداد دانلود]]+Table1[[#This Row],[تعداد تماشا ]]</f>
        <v>400</v>
      </c>
    </row>
    <row r="390" spans="1:12" ht="36" x14ac:dyDescent="0.25">
      <c r="A390" s="13">
        <v>296</v>
      </c>
      <c r="B390" s="13">
        <v>6839</v>
      </c>
      <c r="C390" s="13"/>
      <c r="D390" s="13" t="s">
        <v>533</v>
      </c>
      <c r="E390" s="13" t="s">
        <v>534</v>
      </c>
      <c r="F390" s="13" t="s">
        <v>402</v>
      </c>
      <c r="G390" s="13" t="s">
        <v>11</v>
      </c>
      <c r="H390" s="11">
        <v>425</v>
      </c>
      <c r="I390" s="11">
        <v>4503</v>
      </c>
      <c r="J390" s="11">
        <v>34</v>
      </c>
      <c r="K390" s="11">
        <f>199000+80000+28000</f>
        <v>307000</v>
      </c>
      <c r="L390" s="10">
        <f>Table1[[#This Row],[تعداد دانلود]]+Table1[[#This Row],[تعداد تماشا ]]</f>
        <v>459</v>
      </c>
    </row>
    <row r="391" spans="1:12" x14ac:dyDescent="0.25">
      <c r="A391" s="13"/>
      <c r="B391" s="13">
        <v>6870</v>
      </c>
      <c r="C391" s="13"/>
      <c r="D391" s="13" t="s">
        <v>646</v>
      </c>
      <c r="E391" s="13" t="s">
        <v>535</v>
      </c>
      <c r="F391" s="13" t="s">
        <v>411</v>
      </c>
      <c r="G391" s="13" t="s">
        <v>11</v>
      </c>
      <c r="H391" s="11">
        <v>172</v>
      </c>
      <c r="I391" s="11">
        <v>1343</v>
      </c>
      <c r="J391" s="11">
        <v>20</v>
      </c>
      <c r="K391" s="11">
        <f>70000+26000+8000</f>
        <v>104000</v>
      </c>
      <c r="L391" s="10">
        <f>Table1[[#This Row],[تعداد دانلود]]+Table1[[#This Row],[تعداد تماشا ]]</f>
        <v>192</v>
      </c>
    </row>
    <row r="392" spans="1:12" x14ac:dyDescent="0.25">
      <c r="A392" s="13"/>
      <c r="B392" s="13">
        <v>6871</v>
      </c>
      <c r="C392" s="13"/>
      <c r="D392" s="13" t="s">
        <v>647</v>
      </c>
      <c r="E392" s="13" t="s">
        <v>535</v>
      </c>
      <c r="F392" s="13" t="s">
        <v>411</v>
      </c>
      <c r="G392" s="13" t="s">
        <v>11</v>
      </c>
      <c r="H392" s="11">
        <v>63</v>
      </c>
      <c r="I392" s="11">
        <v>574</v>
      </c>
      <c r="J392" s="11">
        <v>11</v>
      </c>
      <c r="K392" s="11">
        <f>42000+16000+4000</f>
        <v>62000</v>
      </c>
      <c r="L392" s="10">
        <f>Table1[[#This Row],[تعداد دانلود]]+Table1[[#This Row],[تعداد تماشا ]]</f>
        <v>74</v>
      </c>
    </row>
    <row r="393" spans="1:12" x14ac:dyDescent="0.25">
      <c r="A393" s="13">
        <v>297</v>
      </c>
      <c r="B393" s="13">
        <v>6875</v>
      </c>
      <c r="C393" s="13"/>
      <c r="D393" s="13" t="s">
        <v>648</v>
      </c>
      <c r="E393" s="13" t="s">
        <v>535</v>
      </c>
      <c r="F393" s="13" t="s">
        <v>411</v>
      </c>
      <c r="G393" s="13" t="s">
        <v>11</v>
      </c>
      <c r="H393" s="11">
        <v>38</v>
      </c>
      <c r="I393" s="11">
        <v>345</v>
      </c>
      <c r="J393" s="11">
        <v>4</v>
      </c>
      <c r="K393" s="11">
        <f>24000+2000+4000</f>
        <v>30000</v>
      </c>
      <c r="L393" s="10">
        <f>Table1[[#This Row],[تعداد دانلود]]+Table1[[#This Row],[تعداد تماشا ]]</f>
        <v>42</v>
      </c>
    </row>
    <row r="394" spans="1:12" x14ac:dyDescent="0.25">
      <c r="A394" s="13"/>
      <c r="B394" s="13">
        <v>6874</v>
      </c>
      <c r="C394" s="13"/>
      <c r="D394" s="13" t="s">
        <v>649</v>
      </c>
      <c r="E394" s="13" t="s">
        <v>535</v>
      </c>
      <c r="F394" s="13" t="s">
        <v>411</v>
      </c>
      <c r="G394" s="13" t="s">
        <v>11</v>
      </c>
      <c r="H394" s="11">
        <v>35</v>
      </c>
      <c r="I394" s="11">
        <v>336</v>
      </c>
      <c r="J394" s="11">
        <v>3</v>
      </c>
      <c r="K394" s="11">
        <v>26000</v>
      </c>
      <c r="L394" s="10">
        <f>Table1[[#This Row],[تعداد دانلود]]+Table1[[#This Row],[تعداد تماشا ]]</f>
        <v>38</v>
      </c>
    </row>
    <row r="395" spans="1:12" x14ac:dyDescent="0.25">
      <c r="A395" s="13"/>
      <c r="B395" s="13">
        <v>6873</v>
      </c>
      <c r="C395" s="13"/>
      <c r="D395" s="13" t="s">
        <v>650</v>
      </c>
      <c r="E395" s="13" t="s">
        <v>535</v>
      </c>
      <c r="F395" s="13" t="s">
        <v>411</v>
      </c>
      <c r="G395" s="13" t="s">
        <v>11</v>
      </c>
      <c r="H395" s="11">
        <v>38</v>
      </c>
      <c r="I395" s="11">
        <v>253</v>
      </c>
      <c r="J395" s="11">
        <v>3</v>
      </c>
      <c r="K395" s="11">
        <v>22000</v>
      </c>
      <c r="L395" s="10">
        <f>Table1[[#This Row],[تعداد دانلود]]+Table1[[#This Row],[تعداد تماشا ]]</f>
        <v>41</v>
      </c>
    </row>
    <row r="396" spans="1:12" x14ac:dyDescent="0.25">
      <c r="A396" s="13"/>
      <c r="B396" s="13">
        <v>6872</v>
      </c>
      <c r="C396" s="13"/>
      <c r="D396" s="13" t="s">
        <v>651</v>
      </c>
      <c r="E396" s="13" t="s">
        <v>535</v>
      </c>
      <c r="F396" s="13" t="s">
        <v>411</v>
      </c>
      <c r="G396" s="13" t="s">
        <v>11</v>
      </c>
      <c r="H396" s="11">
        <v>18</v>
      </c>
      <c r="I396" s="11">
        <v>123</v>
      </c>
      <c r="J396" s="11">
        <v>4</v>
      </c>
      <c r="K396" s="11">
        <v>14000</v>
      </c>
      <c r="L396" s="10">
        <f>Table1[[#This Row],[تعداد دانلود]]+Table1[[#This Row],[تعداد تماشا ]]</f>
        <v>22</v>
      </c>
    </row>
    <row r="397" spans="1:12" x14ac:dyDescent="0.25">
      <c r="A397" s="13"/>
      <c r="B397" s="13">
        <v>6878</v>
      </c>
      <c r="C397" s="13"/>
      <c r="D397" s="13" t="s">
        <v>652</v>
      </c>
      <c r="E397" s="13" t="s">
        <v>535</v>
      </c>
      <c r="F397" s="13" t="s">
        <v>411</v>
      </c>
      <c r="G397" s="13" t="s">
        <v>11</v>
      </c>
      <c r="H397" s="11">
        <v>18</v>
      </c>
      <c r="I397" s="11">
        <v>194</v>
      </c>
      <c r="J397" s="11">
        <v>4</v>
      </c>
      <c r="K397" s="11">
        <v>20000</v>
      </c>
      <c r="L397" s="10">
        <f>Table1[[#This Row],[تعداد دانلود]]+Table1[[#This Row],[تعداد تماشا ]]</f>
        <v>22</v>
      </c>
    </row>
    <row r="398" spans="1:12" x14ac:dyDescent="0.25">
      <c r="A398" s="13"/>
      <c r="B398" s="13">
        <v>6877</v>
      </c>
      <c r="C398" s="13"/>
      <c r="D398" s="13" t="s">
        <v>653</v>
      </c>
      <c r="E398" s="13" t="s">
        <v>535</v>
      </c>
      <c r="F398" s="13" t="s">
        <v>411</v>
      </c>
      <c r="G398" s="13" t="s">
        <v>11</v>
      </c>
      <c r="H398" s="11">
        <v>16</v>
      </c>
      <c r="I398" s="11">
        <v>125</v>
      </c>
      <c r="J398" s="11">
        <v>4</v>
      </c>
      <c r="K398" s="11">
        <v>14000</v>
      </c>
      <c r="L398" s="10">
        <f>Table1[[#This Row],[تعداد دانلود]]+Table1[[#This Row],[تعداد تماشا ]]</f>
        <v>20</v>
      </c>
    </row>
    <row r="399" spans="1:12" x14ac:dyDescent="0.25">
      <c r="A399" s="13"/>
      <c r="B399" s="13">
        <v>6879</v>
      </c>
      <c r="C399" s="13"/>
      <c r="D399" s="13" t="s">
        <v>654</v>
      </c>
      <c r="E399" s="13" t="s">
        <v>535</v>
      </c>
      <c r="F399" s="13" t="s">
        <v>411</v>
      </c>
      <c r="G399" s="13" t="s">
        <v>11</v>
      </c>
      <c r="H399" s="11">
        <v>11</v>
      </c>
      <c r="I399" s="11">
        <v>148</v>
      </c>
      <c r="J399" s="11">
        <v>4</v>
      </c>
      <c r="K399" s="11">
        <v>16000</v>
      </c>
      <c r="L399" s="10">
        <f>Table1[[#This Row],[تعداد دانلود]]+Table1[[#This Row],[تعداد تماشا ]]</f>
        <v>15</v>
      </c>
    </row>
    <row r="400" spans="1:12" x14ac:dyDescent="0.25">
      <c r="A400" s="13"/>
      <c r="B400" s="13">
        <v>6876</v>
      </c>
      <c r="C400" s="13"/>
      <c r="D400" s="13" t="s">
        <v>655</v>
      </c>
      <c r="E400" s="13" t="s">
        <v>535</v>
      </c>
      <c r="F400" s="13" t="s">
        <v>411</v>
      </c>
      <c r="G400" s="13" t="s">
        <v>11</v>
      </c>
      <c r="H400" s="11">
        <v>10</v>
      </c>
      <c r="I400" s="11">
        <v>113</v>
      </c>
      <c r="J400" s="11">
        <v>4</v>
      </c>
      <c r="K400" s="11">
        <v>16000</v>
      </c>
      <c r="L400" s="10">
        <f>Table1[[#This Row],[تعداد دانلود]]+Table1[[#This Row],[تعداد تماشا ]]</f>
        <v>14</v>
      </c>
    </row>
    <row r="401" spans="1:12" x14ac:dyDescent="0.25">
      <c r="A401" s="13"/>
      <c r="B401" s="13">
        <v>6881</v>
      </c>
      <c r="C401" s="13"/>
      <c r="D401" s="13" t="s">
        <v>656</v>
      </c>
      <c r="E401" s="13" t="s">
        <v>535</v>
      </c>
      <c r="F401" s="13" t="s">
        <v>411</v>
      </c>
      <c r="G401" s="13" t="s">
        <v>11</v>
      </c>
      <c r="H401" s="11">
        <v>7</v>
      </c>
      <c r="I401" s="11">
        <v>107</v>
      </c>
      <c r="J401" s="11">
        <v>4</v>
      </c>
      <c r="K401" s="11">
        <v>16000</v>
      </c>
      <c r="L401" s="10">
        <f>Table1[[#This Row],[تعداد دانلود]]+Table1[[#This Row],[تعداد تماشا ]]</f>
        <v>11</v>
      </c>
    </row>
    <row r="402" spans="1:12" x14ac:dyDescent="0.25">
      <c r="A402" s="13"/>
      <c r="B402" s="13">
        <v>6880</v>
      </c>
      <c r="C402" s="13"/>
      <c r="D402" s="13" t="s">
        <v>657</v>
      </c>
      <c r="E402" s="13" t="s">
        <v>535</v>
      </c>
      <c r="F402" s="13" t="s">
        <v>411</v>
      </c>
      <c r="G402" s="13" t="s">
        <v>11</v>
      </c>
      <c r="H402" s="11">
        <v>14</v>
      </c>
      <c r="I402" s="11">
        <v>174</v>
      </c>
      <c r="J402" s="11">
        <v>3</v>
      </c>
      <c r="K402" s="11">
        <v>16000</v>
      </c>
      <c r="L402" s="10">
        <f>Table1[[#This Row],[تعداد دانلود]]+Table1[[#This Row],[تعداد تماشا ]]</f>
        <v>17</v>
      </c>
    </row>
    <row r="403" spans="1:12" x14ac:dyDescent="0.25">
      <c r="A403" s="13"/>
      <c r="B403" s="13">
        <v>6882</v>
      </c>
      <c r="C403" s="13"/>
      <c r="D403" s="13" t="s">
        <v>658</v>
      </c>
      <c r="E403" s="13" t="s">
        <v>535</v>
      </c>
      <c r="F403" s="13" t="s">
        <v>411</v>
      </c>
      <c r="G403" s="13" t="s">
        <v>11</v>
      </c>
      <c r="H403" s="11">
        <v>21</v>
      </c>
      <c r="I403" s="11">
        <v>183</v>
      </c>
      <c r="J403" s="11">
        <v>3</v>
      </c>
      <c r="K403" s="11">
        <v>16000</v>
      </c>
      <c r="L403" s="10">
        <f>Table1[[#This Row],[تعداد دانلود]]+Table1[[#This Row],[تعداد تماشا ]]</f>
        <v>24</v>
      </c>
    </row>
    <row r="404" spans="1:12" ht="36" x14ac:dyDescent="0.25">
      <c r="A404" s="13">
        <v>298</v>
      </c>
      <c r="B404" s="13">
        <v>7107</v>
      </c>
      <c r="C404" s="13"/>
      <c r="D404" s="13" t="s">
        <v>536</v>
      </c>
      <c r="E404" s="13" t="s">
        <v>537</v>
      </c>
      <c r="F404" s="13" t="s">
        <v>402</v>
      </c>
      <c r="G404" s="13" t="s">
        <v>16</v>
      </c>
      <c r="H404" s="11">
        <v>379</v>
      </c>
      <c r="I404" s="11">
        <v>2176</v>
      </c>
      <c r="J404" s="11">
        <v>76</v>
      </c>
      <c r="K404" s="11">
        <f>27500+80000+40000</f>
        <v>147500</v>
      </c>
      <c r="L404" s="10">
        <f>Table1[[#This Row],[تعداد دانلود]]+Table1[[#This Row],[تعداد تماشا ]]</f>
        <v>455</v>
      </c>
    </row>
    <row r="405" spans="1:12" x14ac:dyDescent="0.25">
      <c r="A405" s="13">
        <v>299</v>
      </c>
      <c r="B405" s="13">
        <v>7203</v>
      </c>
      <c r="C405" s="13"/>
      <c r="D405" s="13" t="s">
        <v>538</v>
      </c>
      <c r="E405" s="13" t="s">
        <v>539</v>
      </c>
      <c r="F405" s="13" t="s">
        <v>403</v>
      </c>
      <c r="G405" s="13" t="s">
        <v>379</v>
      </c>
      <c r="H405" s="11">
        <v>107</v>
      </c>
      <c r="I405" s="11">
        <v>163</v>
      </c>
      <c r="J405" s="11">
        <v>18</v>
      </c>
      <c r="K405" s="11">
        <v>6000</v>
      </c>
      <c r="L405" s="10">
        <f>Table1[[#This Row],[تعداد دانلود]]+Table1[[#This Row],[تعداد تماشا ]]</f>
        <v>125</v>
      </c>
    </row>
    <row r="406" spans="1:12" ht="36" x14ac:dyDescent="0.25">
      <c r="A406" s="13">
        <v>300</v>
      </c>
      <c r="B406" s="13">
        <v>7813</v>
      </c>
      <c r="C406" s="13"/>
      <c r="D406" s="13" t="s">
        <v>540</v>
      </c>
      <c r="E406" s="13" t="s">
        <v>541</v>
      </c>
      <c r="F406" s="13" t="s">
        <v>402</v>
      </c>
      <c r="G406" s="13" t="s">
        <v>16</v>
      </c>
      <c r="H406" s="11">
        <v>430</v>
      </c>
      <c r="I406" s="11">
        <v>2132</v>
      </c>
      <c r="J406" s="11">
        <v>55</v>
      </c>
      <c r="K406" s="11">
        <f>88000+232000+64000</f>
        <v>384000</v>
      </c>
      <c r="L406" s="10">
        <f>Table1[[#This Row],[تعداد دانلود]]+Table1[[#This Row],[تعداد تماشا ]]</f>
        <v>485</v>
      </c>
    </row>
    <row r="407" spans="1:12" ht="36" x14ac:dyDescent="0.25">
      <c r="A407" s="13">
        <v>301</v>
      </c>
      <c r="B407" s="13">
        <v>7815</v>
      </c>
      <c r="C407" s="13"/>
      <c r="D407" s="13" t="s">
        <v>542</v>
      </c>
      <c r="E407" s="13" t="s">
        <v>543</v>
      </c>
      <c r="F407" s="13" t="s">
        <v>402</v>
      </c>
      <c r="G407" s="13" t="s">
        <v>16</v>
      </c>
      <c r="H407" s="11">
        <v>478</v>
      </c>
      <c r="I407" s="11">
        <v>2842</v>
      </c>
      <c r="J407" s="11">
        <v>78</v>
      </c>
      <c r="K407" s="11">
        <f>108000+270000+84000</f>
        <v>462000</v>
      </c>
      <c r="L407" s="10">
        <f>Table1[[#This Row],[تعداد دانلود]]+Table1[[#This Row],[تعداد تماشا ]]</f>
        <v>556</v>
      </c>
    </row>
    <row r="408" spans="1:12" ht="36" x14ac:dyDescent="0.25">
      <c r="A408" s="13">
        <v>302</v>
      </c>
      <c r="B408" s="13">
        <v>7817</v>
      </c>
      <c r="C408" s="13"/>
      <c r="D408" s="13" t="s">
        <v>544</v>
      </c>
      <c r="E408" s="13" t="s">
        <v>545</v>
      </c>
      <c r="F408" s="13" t="s">
        <v>402</v>
      </c>
      <c r="G408" s="13" t="s">
        <v>16</v>
      </c>
      <c r="H408" s="11">
        <v>638</v>
      </c>
      <c r="I408" s="11">
        <v>3166</v>
      </c>
      <c r="J408" s="11">
        <v>61</v>
      </c>
      <c r="K408" s="11">
        <f>70000+238000+56000</f>
        <v>364000</v>
      </c>
      <c r="L408" s="10">
        <f>Table1[[#This Row],[تعداد دانلود]]+Table1[[#This Row],[تعداد تماشا ]]</f>
        <v>699</v>
      </c>
    </row>
    <row r="409" spans="1:12" ht="36" x14ac:dyDescent="0.25">
      <c r="A409" s="13">
        <v>303</v>
      </c>
      <c r="B409" s="13">
        <v>7818</v>
      </c>
      <c r="C409" s="13"/>
      <c r="D409" s="13" t="s">
        <v>546</v>
      </c>
      <c r="E409" s="13" t="s">
        <v>547</v>
      </c>
      <c r="F409" s="13" t="s">
        <v>402</v>
      </c>
      <c r="G409" s="13" t="s">
        <v>16</v>
      </c>
      <c r="H409" s="11">
        <v>820</v>
      </c>
      <c r="I409" s="11">
        <v>3524</v>
      </c>
      <c r="J409" s="11">
        <v>87</v>
      </c>
      <c r="K409" s="11">
        <f>120000+120000+440000</f>
        <v>680000</v>
      </c>
      <c r="L409" s="10">
        <f>Table1[[#This Row],[تعداد دانلود]]+Table1[[#This Row],[تعداد تماشا ]]</f>
        <v>907</v>
      </c>
    </row>
    <row r="410" spans="1:12" ht="36" x14ac:dyDescent="0.25">
      <c r="A410" s="13">
        <v>304</v>
      </c>
      <c r="B410" s="13">
        <v>7819</v>
      </c>
      <c r="C410" s="13"/>
      <c r="D410" s="13" t="s">
        <v>548</v>
      </c>
      <c r="E410" s="13" t="s">
        <v>549</v>
      </c>
      <c r="F410" s="13" t="s">
        <v>402</v>
      </c>
      <c r="G410" s="13" t="s">
        <v>16</v>
      </c>
      <c r="H410" s="11">
        <v>303</v>
      </c>
      <c r="I410" s="11">
        <v>1488</v>
      </c>
      <c r="J410" s="11">
        <v>57</v>
      </c>
      <c r="K410" s="11">
        <f>66000+138000+78000</f>
        <v>282000</v>
      </c>
      <c r="L410" s="10">
        <f>Table1[[#This Row],[تعداد دانلود]]+Table1[[#This Row],[تعداد تماشا ]]</f>
        <v>360</v>
      </c>
    </row>
    <row r="411" spans="1:12" x14ac:dyDescent="0.25">
      <c r="A411" s="13">
        <v>305</v>
      </c>
      <c r="B411" s="13">
        <v>7862</v>
      </c>
      <c r="C411" s="13"/>
      <c r="D411" s="13" t="s">
        <v>550</v>
      </c>
      <c r="E411" s="13" t="s">
        <v>551</v>
      </c>
      <c r="F411" s="13" t="s">
        <v>403</v>
      </c>
      <c r="G411" s="13" t="s">
        <v>379</v>
      </c>
      <c r="H411" s="11">
        <v>530</v>
      </c>
      <c r="I411" s="11">
        <v>1536</v>
      </c>
      <c r="J411" s="11">
        <v>132</v>
      </c>
      <c r="K411" s="11">
        <f>615000+300000+175000</f>
        <v>1090000</v>
      </c>
      <c r="L411" s="10">
        <f>Table1[[#This Row],[تعداد دانلود]]+Table1[[#This Row],[تعداد تماشا ]]</f>
        <v>662</v>
      </c>
    </row>
    <row r="412" spans="1:12" x14ac:dyDescent="0.25">
      <c r="A412" s="13">
        <v>306</v>
      </c>
      <c r="B412" s="13">
        <v>7865</v>
      </c>
      <c r="C412" s="13"/>
      <c r="D412" s="13" t="s">
        <v>552</v>
      </c>
      <c r="E412" s="13" t="s">
        <v>553</v>
      </c>
      <c r="F412" s="13" t="s">
        <v>403</v>
      </c>
      <c r="G412" s="13" t="s">
        <v>379</v>
      </c>
      <c r="H412" s="11">
        <v>306</v>
      </c>
      <c r="I412" s="11">
        <v>870</v>
      </c>
      <c r="J412" s="11">
        <v>15</v>
      </c>
      <c r="K412" s="11">
        <f>666000+48000+6000</f>
        <v>720000</v>
      </c>
      <c r="L412" s="10">
        <f>Table1[[#This Row],[تعداد دانلود]]+Table1[[#This Row],[تعداد تماشا ]]</f>
        <v>321</v>
      </c>
    </row>
    <row r="413" spans="1:12" ht="36" x14ac:dyDescent="0.25">
      <c r="A413" s="13">
        <v>307</v>
      </c>
      <c r="B413" s="13">
        <v>7866</v>
      </c>
      <c r="C413" s="13"/>
      <c r="D413" s="13" t="s">
        <v>555</v>
      </c>
      <c r="E413" s="13" t="s">
        <v>554</v>
      </c>
      <c r="F413" s="13" t="s">
        <v>403</v>
      </c>
      <c r="G413" s="13" t="s">
        <v>16</v>
      </c>
      <c r="H413" s="11">
        <v>439</v>
      </c>
      <c r="I413" s="11">
        <v>694</v>
      </c>
      <c r="J413" s="11">
        <v>59</v>
      </c>
      <c r="K413" s="11">
        <f>602000+217000+91000</f>
        <v>910000</v>
      </c>
      <c r="L413" s="10">
        <f>Table1[[#This Row],[تعداد دانلود]]+Table1[[#This Row],[تعداد تماشا ]]</f>
        <v>498</v>
      </c>
    </row>
    <row r="414" spans="1:12" ht="36" x14ac:dyDescent="0.25">
      <c r="A414" s="13">
        <v>309</v>
      </c>
      <c r="B414" s="13">
        <v>7872</v>
      </c>
      <c r="C414" s="13"/>
      <c r="D414" s="13" t="s">
        <v>556</v>
      </c>
      <c r="E414" s="13" t="s">
        <v>557</v>
      </c>
      <c r="F414" s="13" t="s">
        <v>402</v>
      </c>
      <c r="G414" s="13" t="s">
        <v>16</v>
      </c>
      <c r="H414" s="11">
        <v>738</v>
      </c>
      <c r="I414" s="11">
        <v>3603</v>
      </c>
      <c r="J414" s="11">
        <v>129</v>
      </c>
      <c r="K414" s="11">
        <f>112000+490000+189000</f>
        <v>791000</v>
      </c>
      <c r="L414" s="10">
        <f>Table1[[#This Row],[تعداد دانلود]]+Table1[[#This Row],[تعداد تماشا ]]</f>
        <v>867</v>
      </c>
    </row>
    <row r="415" spans="1:12" ht="36" x14ac:dyDescent="0.25">
      <c r="A415" s="13">
        <v>310</v>
      </c>
      <c r="B415" s="13">
        <v>7946</v>
      </c>
      <c r="C415" s="13"/>
      <c r="D415" s="13" t="s">
        <v>558</v>
      </c>
      <c r="E415" s="13" t="s">
        <v>559</v>
      </c>
      <c r="F415" s="13" t="s">
        <v>402</v>
      </c>
      <c r="G415" s="13" t="s">
        <v>11</v>
      </c>
      <c r="H415" s="11">
        <v>628</v>
      </c>
      <c r="I415" s="11">
        <v>6266</v>
      </c>
      <c r="J415" s="11">
        <v>52</v>
      </c>
      <c r="K415" s="11">
        <f>301000+189000+77000</f>
        <v>567000</v>
      </c>
      <c r="L415" s="10">
        <f>Table1[[#This Row],[تعداد دانلود]]+Table1[[#This Row],[تعداد تماشا ]]</f>
        <v>680</v>
      </c>
    </row>
    <row r="416" spans="1:12" ht="36" x14ac:dyDescent="0.25">
      <c r="A416" s="13">
        <v>311</v>
      </c>
      <c r="B416" s="13">
        <v>4276</v>
      </c>
      <c r="C416" s="13"/>
      <c r="D416" s="13" t="s">
        <v>560</v>
      </c>
      <c r="E416" s="13"/>
      <c r="F416" s="13" t="s">
        <v>402</v>
      </c>
      <c r="G416" s="13" t="s">
        <v>11</v>
      </c>
      <c r="H416" s="11">
        <v>1146</v>
      </c>
      <c r="I416" s="11">
        <v>15818</v>
      </c>
      <c r="J416" s="11">
        <v>248</v>
      </c>
      <c r="K416" s="11">
        <f>520000+445000+290000</f>
        <v>1255000</v>
      </c>
      <c r="L416" s="10">
        <f>Table1[[#This Row],[تعداد دانلود]]+Table1[[#This Row],[تعداد تماشا ]]</f>
        <v>1394</v>
      </c>
    </row>
    <row r="417" spans="1:12" ht="36" x14ac:dyDescent="0.25">
      <c r="A417" s="13">
        <v>312</v>
      </c>
      <c r="B417" s="13">
        <v>8105</v>
      </c>
      <c r="C417" s="13"/>
      <c r="D417" s="13" t="s">
        <v>561</v>
      </c>
      <c r="E417" s="13" t="s">
        <v>562</v>
      </c>
      <c r="F417" s="13" t="s">
        <v>402</v>
      </c>
      <c r="G417" s="13" t="s">
        <v>16</v>
      </c>
      <c r="H417" s="11">
        <v>127</v>
      </c>
      <c r="I417" s="11">
        <v>707</v>
      </c>
      <c r="J417" s="11">
        <v>29</v>
      </c>
      <c r="K417" s="11">
        <f>49000+119000+21000</f>
        <v>189000</v>
      </c>
      <c r="L417" s="10">
        <f>Table1[[#This Row],[تعداد دانلود]]+Table1[[#This Row],[تعداد تماشا ]]</f>
        <v>156</v>
      </c>
    </row>
    <row r="418" spans="1:12" x14ac:dyDescent="0.25">
      <c r="A418" s="13">
        <v>313</v>
      </c>
      <c r="B418" s="13">
        <v>8756</v>
      </c>
      <c r="C418" s="13">
        <v>298</v>
      </c>
      <c r="D418" s="13" t="s">
        <v>632</v>
      </c>
      <c r="E418" s="13" t="s">
        <v>563</v>
      </c>
      <c r="F418" s="13" t="s">
        <v>411</v>
      </c>
      <c r="G418" s="13" t="s">
        <v>379</v>
      </c>
      <c r="H418" s="11">
        <v>129</v>
      </c>
      <c r="I418" s="11">
        <v>168</v>
      </c>
      <c r="J418" s="11">
        <v>15</v>
      </c>
      <c r="K418" s="11">
        <v>422000</v>
      </c>
      <c r="L418" s="10">
        <f>Table1[[#This Row],[تعداد دانلود]]+Table1[[#This Row],[تعداد تماشا ]]</f>
        <v>144</v>
      </c>
    </row>
    <row r="419" spans="1:12" x14ac:dyDescent="0.25">
      <c r="A419" s="13"/>
      <c r="B419" s="13">
        <v>8757</v>
      </c>
      <c r="C419" s="13">
        <v>299</v>
      </c>
      <c r="D419" s="13" t="s">
        <v>633</v>
      </c>
      <c r="E419" s="13" t="s">
        <v>563</v>
      </c>
      <c r="F419" s="13" t="s">
        <v>411</v>
      </c>
      <c r="G419" s="13" t="s">
        <v>379</v>
      </c>
      <c r="H419" s="11">
        <v>57</v>
      </c>
      <c r="I419" s="11">
        <v>106</v>
      </c>
      <c r="J419" s="11">
        <v>4</v>
      </c>
      <c r="K419" s="11">
        <v>213000</v>
      </c>
      <c r="L419" s="10">
        <f>Table1[[#This Row],[تعداد دانلود]]+Table1[[#This Row],[تعداد تماشا ]]</f>
        <v>61</v>
      </c>
    </row>
    <row r="420" spans="1:12" x14ac:dyDescent="0.25">
      <c r="A420" s="13"/>
      <c r="B420" s="13">
        <v>8758</v>
      </c>
      <c r="C420" s="13">
        <v>300</v>
      </c>
      <c r="D420" s="13" t="s">
        <v>634</v>
      </c>
      <c r="E420" s="13" t="s">
        <v>563</v>
      </c>
      <c r="F420" s="13" t="s">
        <v>411</v>
      </c>
      <c r="G420" s="13" t="s">
        <v>379</v>
      </c>
      <c r="H420" s="11">
        <v>33</v>
      </c>
      <c r="I420" s="11">
        <v>71</v>
      </c>
      <c r="J420" s="11">
        <v>2</v>
      </c>
      <c r="K420" s="11">
        <v>149000</v>
      </c>
      <c r="L420" s="10">
        <f>Table1[[#This Row],[تعداد دانلود]]+Table1[[#This Row],[تعداد تماشا ]]</f>
        <v>35</v>
      </c>
    </row>
    <row r="421" spans="1:12" x14ac:dyDescent="0.25">
      <c r="A421" s="13"/>
      <c r="B421" s="13">
        <v>8759</v>
      </c>
      <c r="C421" s="13">
        <v>301</v>
      </c>
      <c r="D421" s="13" t="s">
        <v>635</v>
      </c>
      <c r="E421" s="13" t="s">
        <v>563</v>
      </c>
      <c r="F421" s="13" t="s">
        <v>411</v>
      </c>
      <c r="G421" s="13" t="s">
        <v>379</v>
      </c>
      <c r="H421" s="11">
        <v>38</v>
      </c>
      <c r="I421" s="11">
        <v>98</v>
      </c>
      <c r="J421" s="11">
        <v>1</v>
      </c>
      <c r="K421" s="11">
        <v>149000</v>
      </c>
      <c r="L421" s="10">
        <f>Table1[[#This Row],[تعداد دانلود]]+Table1[[#This Row],[تعداد تماشا ]]</f>
        <v>39</v>
      </c>
    </row>
    <row r="422" spans="1:12" x14ac:dyDescent="0.25">
      <c r="A422" s="13"/>
      <c r="B422" s="13">
        <v>8760</v>
      </c>
      <c r="C422" s="13">
        <v>302</v>
      </c>
      <c r="D422" s="13" t="s">
        <v>636</v>
      </c>
      <c r="E422" s="13" t="s">
        <v>563</v>
      </c>
      <c r="F422" s="13" t="s">
        <v>411</v>
      </c>
      <c r="G422" s="13" t="s">
        <v>379</v>
      </c>
      <c r="H422" s="11">
        <v>40</v>
      </c>
      <c r="I422" s="11">
        <v>65</v>
      </c>
      <c r="J422" s="11">
        <v>1</v>
      </c>
      <c r="K422" s="11">
        <v>166000</v>
      </c>
      <c r="L422" s="10">
        <f>Table1[[#This Row],[تعداد دانلود]]+Table1[[#This Row],[تعداد تماشا ]]</f>
        <v>41</v>
      </c>
    </row>
    <row r="423" spans="1:12" x14ac:dyDescent="0.25">
      <c r="A423" s="13"/>
      <c r="B423" s="13">
        <v>8761</v>
      </c>
      <c r="C423" s="13">
        <v>303</v>
      </c>
      <c r="D423" s="13" t="s">
        <v>637</v>
      </c>
      <c r="E423" s="13" t="s">
        <v>563</v>
      </c>
      <c r="F423" s="13" t="s">
        <v>411</v>
      </c>
      <c r="G423" s="13" t="s">
        <v>379</v>
      </c>
      <c r="H423" s="11">
        <v>22</v>
      </c>
      <c r="I423" s="11">
        <v>48</v>
      </c>
      <c r="J423" s="11">
        <v>1</v>
      </c>
      <c r="K423" s="11">
        <v>103000</v>
      </c>
      <c r="L423" s="10">
        <f>Table1[[#This Row],[تعداد دانلود]]+Table1[[#This Row],[تعداد تماشا ]]</f>
        <v>23</v>
      </c>
    </row>
    <row r="424" spans="1:12" x14ac:dyDescent="0.25">
      <c r="A424" s="13"/>
      <c r="B424" s="13">
        <v>8762</v>
      </c>
      <c r="C424" s="13">
        <v>304</v>
      </c>
      <c r="D424" s="13" t="s">
        <v>638</v>
      </c>
      <c r="E424" s="13" t="s">
        <v>563</v>
      </c>
      <c r="F424" s="13" t="s">
        <v>411</v>
      </c>
      <c r="G424" s="13" t="s">
        <v>379</v>
      </c>
      <c r="H424" s="11">
        <v>25</v>
      </c>
      <c r="I424" s="11">
        <v>41</v>
      </c>
      <c r="J424" s="11">
        <v>1</v>
      </c>
      <c r="K424" s="11">
        <v>102000</v>
      </c>
      <c r="L424" s="10">
        <f>Table1[[#This Row],[تعداد دانلود]]+Table1[[#This Row],[تعداد تماشا ]]</f>
        <v>26</v>
      </c>
    </row>
    <row r="425" spans="1:12" x14ac:dyDescent="0.25">
      <c r="A425" s="13"/>
      <c r="B425" s="13">
        <v>8763</v>
      </c>
      <c r="C425" s="13">
        <v>305</v>
      </c>
      <c r="D425" s="13" t="s">
        <v>639</v>
      </c>
      <c r="E425" s="13" t="s">
        <v>563</v>
      </c>
      <c r="F425" s="13" t="s">
        <v>411</v>
      </c>
      <c r="G425" s="13" t="s">
        <v>379</v>
      </c>
      <c r="H425" s="11">
        <v>13</v>
      </c>
      <c r="I425" s="11">
        <v>26</v>
      </c>
      <c r="J425" s="11">
        <v>3</v>
      </c>
      <c r="K425" s="11">
        <v>71000</v>
      </c>
      <c r="L425" s="10">
        <f>Table1[[#This Row],[تعداد دانلود]]+Table1[[#This Row],[تعداد تماشا ]]</f>
        <v>16</v>
      </c>
    </row>
    <row r="426" spans="1:12" x14ac:dyDescent="0.25">
      <c r="A426" s="13"/>
      <c r="B426" s="13">
        <v>8764</v>
      </c>
      <c r="C426" s="13">
        <v>306</v>
      </c>
      <c r="D426" s="13" t="s">
        <v>640</v>
      </c>
      <c r="E426" s="13" t="s">
        <v>563</v>
      </c>
      <c r="F426" s="13" t="s">
        <v>411</v>
      </c>
      <c r="G426" s="13" t="s">
        <v>379</v>
      </c>
      <c r="H426" s="11">
        <v>19</v>
      </c>
      <c r="I426" s="11">
        <v>38</v>
      </c>
      <c r="J426" s="11">
        <v>1</v>
      </c>
      <c r="K426" s="11">
        <v>102000</v>
      </c>
      <c r="L426" s="10">
        <f>Table1[[#This Row],[تعداد دانلود]]+Table1[[#This Row],[تعداد تماشا ]]</f>
        <v>20</v>
      </c>
    </row>
    <row r="427" spans="1:12" x14ac:dyDescent="0.25">
      <c r="A427" s="13"/>
      <c r="B427" s="13">
        <v>8765</v>
      </c>
      <c r="C427" s="13">
        <v>309</v>
      </c>
      <c r="D427" s="13" t="s">
        <v>641</v>
      </c>
      <c r="E427" s="13" t="s">
        <v>563</v>
      </c>
      <c r="F427" s="13" t="s">
        <v>411</v>
      </c>
      <c r="G427" s="13" t="s">
        <v>379</v>
      </c>
      <c r="H427" s="11">
        <v>19</v>
      </c>
      <c r="I427" s="11">
        <v>33</v>
      </c>
      <c r="J427" s="11">
        <v>1</v>
      </c>
      <c r="K427" s="11">
        <v>86000</v>
      </c>
      <c r="L427" s="10">
        <f>Table1[[#This Row],[تعداد دانلود]]+Table1[[#This Row],[تعداد تماشا ]]</f>
        <v>20</v>
      </c>
    </row>
    <row r="428" spans="1:12" x14ac:dyDescent="0.25">
      <c r="A428" s="13"/>
      <c r="B428" s="13">
        <v>8766</v>
      </c>
      <c r="C428" s="13">
        <v>307</v>
      </c>
      <c r="D428" s="13" t="s">
        <v>642</v>
      </c>
      <c r="E428" s="13" t="s">
        <v>563</v>
      </c>
      <c r="F428" s="13" t="s">
        <v>411</v>
      </c>
      <c r="G428" s="13" t="s">
        <v>379</v>
      </c>
      <c r="H428" s="11">
        <v>16</v>
      </c>
      <c r="I428" s="11">
        <v>32</v>
      </c>
      <c r="J428" s="11">
        <v>1</v>
      </c>
      <c r="K428" s="11">
        <v>91000</v>
      </c>
      <c r="L428" s="10">
        <f>Table1[[#This Row],[تعداد دانلود]]+Table1[[#This Row],[تعداد تماشا ]]</f>
        <v>17</v>
      </c>
    </row>
    <row r="429" spans="1:12" x14ac:dyDescent="0.25">
      <c r="A429" s="13"/>
      <c r="B429" s="13">
        <v>8767</v>
      </c>
      <c r="C429" s="13">
        <v>310</v>
      </c>
      <c r="D429" s="13" t="s">
        <v>643</v>
      </c>
      <c r="E429" s="13" t="s">
        <v>563</v>
      </c>
      <c r="F429" s="13" t="s">
        <v>411</v>
      </c>
      <c r="G429" s="13" t="s">
        <v>379</v>
      </c>
      <c r="H429" s="11">
        <v>14</v>
      </c>
      <c r="I429" s="11">
        <v>38</v>
      </c>
      <c r="J429" s="11">
        <v>1</v>
      </c>
      <c r="K429" s="11">
        <v>72000</v>
      </c>
      <c r="L429" s="10">
        <f>Table1[[#This Row],[تعداد دانلود]]+Table1[[#This Row],[تعداد تماشا ]]</f>
        <v>15</v>
      </c>
    </row>
    <row r="430" spans="1:12" x14ac:dyDescent="0.25">
      <c r="A430" s="13"/>
      <c r="B430" s="13">
        <v>8768</v>
      </c>
      <c r="C430" s="13">
        <v>308</v>
      </c>
      <c r="D430" s="13" t="s">
        <v>644</v>
      </c>
      <c r="E430" s="13" t="s">
        <v>563</v>
      </c>
      <c r="F430" s="13" t="s">
        <v>411</v>
      </c>
      <c r="G430" s="13" t="s">
        <v>379</v>
      </c>
      <c r="H430" s="11">
        <v>17</v>
      </c>
      <c r="I430" s="11">
        <v>34</v>
      </c>
      <c r="J430" s="11">
        <v>1</v>
      </c>
      <c r="K430" s="11">
        <v>93000</v>
      </c>
      <c r="L430" s="10">
        <f>Table1[[#This Row],[تعداد دانلود]]+Table1[[#This Row],[تعداد تماشا ]]</f>
        <v>18</v>
      </c>
    </row>
    <row r="431" spans="1:12" x14ac:dyDescent="0.25">
      <c r="A431" s="13"/>
      <c r="B431" s="13">
        <v>8769</v>
      </c>
      <c r="C431" s="13">
        <v>313</v>
      </c>
      <c r="D431" s="13" t="s">
        <v>645</v>
      </c>
      <c r="E431" s="13" t="s">
        <v>563</v>
      </c>
      <c r="F431" s="13" t="s">
        <v>411</v>
      </c>
      <c r="G431" s="13" t="s">
        <v>379</v>
      </c>
      <c r="H431" s="11">
        <v>28</v>
      </c>
      <c r="I431" s="11">
        <v>108</v>
      </c>
      <c r="J431" s="11">
        <v>2</v>
      </c>
      <c r="K431" s="11">
        <v>128000</v>
      </c>
      <c r="L431" s="10">
        <f>Table1[[#This Row],[تعداد دانلود]]+Table1[[#This Row],[تعداد تماشا ]]</f>
        <v>30</v>
      </c>
    </row>
    <row r="432" spans="1:12" x14ac:dyDescent="0.25">
      <c r="A432" s="13">
        <v>314</v>
      </c>
      <c r="B432" s="13">
        <v>8790</v>
      </c>
      <c r="C432" s="13">
        <v>331</v>
      </c>
      <c r="D432" s="13" t="s">
        <v>617</v>
      </c>
      <c r="E432" s="13" t="s">
        <v>564</v>
      </c>
      <c r="F432" s="13" t="s">
        <v>411</v>
      </c>
      <c r="G432" s="13" t="s">
        <v>11</v>
      </c>
      <c r="H432" s="11">
        <v>152</v>
      </c>
      <c r="I432" s="11">
        <v>2449</v>
      </c>
      <c r="J432" s="11">
        <v>15</v>
      </c>
      <c r="K432" s="11">
        <v>344000</v>
      </c>
      <c r="L432" s="10">
        <f>Table1[[#This Row],[تعداد دانلود]]+Table1[[#This Row],[تعداد تماشا ]]</f>
        <v>167</v>
      </c>
    </row>
    <row r="433" spans="1:12" x14ac:dyDescent="0.25">
      <c r="A433" s="13"/>
      <c r="B433" s="13">
        <v>8791</v>
      </c>
      <c r="C433" s="13">
        <v>332</v>
      </c>
      <c r="D433" s="13" t="s">
        <v>618</v>
      </c>
      <c r="E433" s="13" t="s">
        <v>564</v>
      </c>
      <c r="F433" s="13" t="s">
        <v>411</v>
      </c>
      <c r="G433" s="13" t="s">
        <v>11</v>
      </c>
      <c r="H433" s="11">
        <v>165</v>
      </c>
      <c r="I433" s="11">
        <v>2166</v>
      </c>
      <c r="J433" s="11">
        <v>17</v>
      </c>
      <c r="K433" s="11">
        <v>321000</v>
      </c>
      <c r="L433" s="10">
        <f>Table1[[#This Row],[تعداد دانلود]]+Table1[[#This Row],[تعداد تماشا ]]</f>
        <v>182</v>
      </c>
    </row>
    <row r="434" spans="1:12" x14ac:dyDescent="0.25">
      <c r="A434" s="13"/>
      <c r="B434" s="13">
        <v>8792</v>
      </c>
      <c r="C434" s="13">
        <v>333</v>
      </c>
      <c r="D434" s="13" t="s">
        <v>619</v>
      </c>
      <c r="E434" s="13" t="s">
        <v>564</v>
      </c>
      <c r="F434" s="13" t="s">
        <v>411</v>
      </c>
      <c r="G434" s="13" t="s">
        <v>11</v>
      </c>
      <c r="H434" s="11">
        <v>109</v>
      </c>
      <c r="I434" s="11">
        <v>1032</v>
      </c>
      <c r="J434" s="11">
        <v>14</v>
      </c>
      <c r="K434" s="11">
        <v>206000</v>
      </c>
      <c r="L434" s="10">
        <f>Table1[[#This Row],[تعداد دانلود]]+Table1[[#This Row],[تعداد تماشا ]]</f>
        <v>123</v>
      </c>
    </row>
    <row r="435" spans="1:12" x14ac:dyDescent="0.25">
      <c r="A435" s="13"/>
      <c r="B435" s="13">
        <v>8793</v>
      </c>
      <c r="C435" s="13">
        <v>334</v>
      </c>
      <c r="D435" s="13" t="s">
        <v>620</v>
      </c>
      <c r="E435" s="13" t="s">
        <v>564</v>
      </c>
      <c r="F435" s="13" t="s">
        <v>411</v>
      </c>
      <c r="G435" s="13" t="s">
        <v>11</v>
      </c>
      <c r="H435" s="11">
        <v>75</v>
      </c>
      <c r="I435" s="11">
        <v>1311</v>
      </c>
      <c r="J435" s="11">
        <v>10</v>
      </c>
      <c r="K435" s="11">
        <v>220000</v>
      </c>
      <c r="L435" s="10">
        <f>Table1[[#This Row],[تعداد دانلود]]+Table1[[#This Row],[تعداد تماشا ]]</f>
        <v>85</v>
      </c>
    </row>
    <row r="436" spans="1:12" x14ac:dyDescent="0.25">
      <c r="A436" s="13"/>
      <c r="B436" s="13">
        <v>8794</v>
      </c>
      <c r="C436" s="13">
        <v>335</v>
      </c>
      <c r="D436" s="13" t="s">
        <v>621</v>
      </c>
      <c r="E436" s="13" t="s">
        <v>564</v>
      </c>
      <c r="F436" s="13" t="s">
        <v>411</v>
      </c>
      <c r="G436" s="13" t="s">
        <v>11</v>
      </c>
      <c r="H436" s="11">
        <v>46</v>
      </c>
      <c r="I436" s="11">
        <v>877</v>
      </c>
      <c r="J436" s="11">
        <v>8</v>
      </c>
      <c r="K436" s="11">
        <v>146000</v>
      </c>
      <c r="L436" s="10">
        <f>Table1[[#This Row],[تعداد دانلود]]+Table1[[#This Row],[تعداد تماشا ]]</f>
        <v>54</v>
      </c>
    </row>
    <row r="437" spans="1:12" x14ac:dyDescent="0.25">
      <c r="A437" s="13"/>
      <c r="B437" s="13">
        <v>8819</v>
      </c>
      <c r="C437" s="13">
        <v>345</v>
      </c>
      <c r="D437" s="13" t="s">
        <v>622</v>
      </c>
      <c r="E437" s="13" t="s">
        <v>564</v>
      </c>
      <c r="F437" s="13" t="s">
        <v>411</v>
      </c>
      <c r="G437" s="13" t="s">
        <v>11</v>
      </c>
      <c r="H437" s="11">
        <v>52</v>
      </c>
      <c r="I437" s="11">
        <v>734</v>
      </c>
      <c r="J437" s="11">
        <v>7</v>
      </c>
      <c r="K437" s="11">
        <v>170000</v>
      </c>
      <c r="L437" s="10">
        <f>Table1[[#This Row],[تعداد دانلود]]+Table1[[#This Row],[تعداد تماشا ]]</f>
        <v>59</v>
      </c>
    </row>
    <row r="438" spans="1:12" x14ac:dyDescent="0.25">
      <c r="A438" s="13"/>
      <c r="B438" s="13">
        <v>8821</v>
      </c>
      <c r="C438" s="13">
        <v>347</v>
      </c>
      <c r="D438" s="13" t="s">
        <v>623</v>
      </c>
      <c r="E438" s="13" t="s">
        <v>564</v>
      </c>
      <c r="F438" s="13" t="s">
        <v>411</v>
      </c>
      <c r="G438" s="13" t="s">
        <v>11</v>
      </c>
      <c r="H438" s="11">
        <v>50</v>
      </c>
      <c r="I438" s="11">
        <v>574</v>
      </c>
      <c r="J438" s="11">
        <v>9</v>
      </c>
      <c r="K438" s="11">
        <v>141000</v>
      </c>
      <c r="L438" s="10">
        <f>Table1[[#This Row],[تعداد دانلود]]+Table1[[#This Row],[تعداد تماشا ]]</f>
        <v>59</v>
      </c>
    </row>
    <row r="439" spans="1:12" x14ac:dyDescent="0.25">
      <c r="A439" s="13"/>
      <c r="B439" s="13">
        <v>8823</v>
      </c>
      <c r="C439" s="13">
        <v>350</v>
      </c>
      <c r="D439" s="13" t="s">
        <v>624</v>
      </c>
      <c r="E439" s="13" t="s">
        <v>564</v>
      </c>
      <c r="F439" s="13" t="s">
        <v>411</v>
      </c>
      <c r="G439" s="13" t="s">
        <v>11</v>
      </c>
      <c r="H439" s="11">
        <v>35</v>
      </c>
      <c r="I439" s="11">
        <v>460</v>
      </c>
      <c r="J439" s="11">
        <v>6</v>
      </c>
      <c r="K439" s="11">
        <v>118000</v>
      </c>
      <c r="L439" s="10">
        <f>Table1[[#This Row],[تعداد دانلود]]+Table1[[#This Row],[تعداد تماشا ]]</f>
        <v>41</v>
      </c>
    </row>
    <row r="440" spans="1:12" x14ac:dyDescent="0.25">
      <c r="A440" s="13"/>
      <c r="B440" s="13">
        <v>8824</v>
      </c>
      <c r="C440" s="13">
        <v>351</v>
      </c>
      <c r="D440" s="13" t="s">
        <v>625</v>
      </c>
      <c r="E440" s="13" t="s">
        <v>564</v>
      </c>
      <c r="F440" s="13" t="s">
        <v>411</v>
      </c>
      <c r="G440" s="13" t="s">
        <v>11</v>
      </c>
      <c r="H440" s="11">
        <v>74</v>
      </c>
      <c r="I440" s="11">
        <v>846</v>
      </c>
      <c r="J440" s="11">
        <v>5</v>
      </c>
      <c r="K440" s="11">
        <v>114000</v>
      </c>
      <c r="L440" s="10">
        <f>Table1[[#This Row],[تعداد دانلود]]+Table1[[#This Row],[تعداد تماشا ]]</f>
        <v>79</v>
      </c>
    </row>
    <row r="441" spans="1:12" x14ac:dyDescent="0.25">
      <c r="A441" s="13"/>
      <c r="B441" s="13">
        <v>8825</v>
      </c>
      <c r="C441" s="13">
        <v>383</v>
      </c>
      <c r="D441" s="13" t="s">
        <v>626</v>
      </c>
      <c r="E441" s="13" t="s">
        <v>564</v>
      </c>
      <c r="F441" s="13" t="s">
        <v>411</v>
      </c>
      <c r="G441" s="13" t="s">
        <v>11</v>
      </c>
      <c r="H441" s="11">
        <v>67</v>
      </c>
      <c r="I441" s="11">
        <v>765</v>
      </c>
      <c r="J441" s="11">
        <v>3</v>
      </c>
      <c r="K441" s="11">
        <v>80000</v>
      </c>
      <c r="L441" s="10">
        <f>Table1[[#This Row],[تعداد دانلود]]+Table1[[#This Row],[تعداد تماشا ]]</f>
        <v>70</v>
      </c>
    </row>
    <row r="442" spans="1:12" x14ac:dyDescent="0.25">
      <c r="A442" s="13"/>
      <c r="B442" s="13">
        <v>8826</v>
      </c>
      <c r="C442" s="13">
        <v>410</v>
      </c>
      <c r="D442" s="13" t="s">
        <v>627</v>
      </c>
      <c r="E442" s="13" t="s">
        <v>564</v>
      </c>
      <c r="F442" s="13" t="s">
        <v>411</v>
      </c>
      <c r="G442" s="13" t="s">
        <v>11</v>
      </c>
      <c r="H442" s="11">
        <v>34</v>
      </c>
      <c r="I442" s="11">
        <v>655</v>
      </c>
      <c r="J442" s="11">
        <v>4</v>
      </c>
      <c r="K442" s="11">
        <v>102000</v>
      </c>
      <c r="L442" s="10">
        <f>Table1[[#This Row],[تعداد دانلود]]+Table1[[#This Row],[تعداد تماشا ]]</f>
        <v>38</v>
      </c>
    </row>
    <row r="443" spans="1:12" x14ac:dyDescent="0.25">
      <c r="A443" s="13"/>
      <c r="B443" s="13">
        <v>8827</v>
      </c>
      <c r="C443" s="13">
        <v>411</v>
      </c>
      <c r="D443" s="13" t="s">
        <v>628</v>
      </c>
      <c r="E443" s="13" t="s">
        <v>564</v>
      </c>
      <c r="F443" s="13" t="s">
        <v>411</v>
      </c>
      <c r="G443" s="13" t="s">
        <v>11</v>
      </c>
      <c r="H443" s="11">
        <v>63</v>
      </c>
      <c r="I443" s="11">
        <v>951</v>
      </c>
      <c r="J443" s="11">
        <v>4</v>
      </c>
      <c r="K443" s="11">
        <v>125000</v>
      </c>
      <c r="L443" s="10">
        <f>Table1[[#This Row],[تعداد دانلود]]+Table1[[#This Row],[تعداد تماشا ]]</f>
        <v>67</v>
      </c>
    </row>
    <row r="444" spans="1:12" x14ac:dyDescent="0.25">
      <c r="A444" s="13"/>
      <c r="B444" s="13">
        <v>8828</v>
      </c>
      <c r="C444" s="13">
        <v>412</v>
      </c>
      <c r="D444" s="13" t="s">
        <v>629</v>
      </c>
      <c r="E444" s="13" t="s">
        <v>564</v>
      </c>
      <c r="F444" s="13" t="s">
        <v>411</v>
      </c>
      <c r="G444" s="13" t="s">
        <v>11</v>
      </c>
      <c r="H444" s="11">
        <v>44</v>
      </c>
      <c r="I444" s="11">
        <v>496</v>
      </c>
      <c r="J444" s="11">
        <v>1</v>
      </c>
      <c r="K444" s="11">
        <v>78000</v>
      </c>
      <c r="L444" s="10">
        <f>Table1[[#This Row],[تعداد دانلود]]+Table1[[#This Row],[تعداد تماشا ]]</f>
        <v>45</v>
      </c>
    </row>
    <row r="445" spans="1:12" x14ac:dyDescent="0.25">
      <c r="A445" s="13"/>
      <c r="B445" s="13">
        <v>8829</v>
      </c>
      <c r="C445" s="13">
        <v>416</v>
      </c>
      <c r="D445" s="13" t="s">
        <v>630</v>
      </c>
      <c r="E445" s="13" t="s">
        <v>564</v>
      </c>
      <c r="F445" s="13" t="s">
        <v>411</v>
      </c>
      <c r="G445" s="13" t="s">
        <v>11</v>
      </c>
      <c r="H445" s="11">
        <v>61</v>
      </c>
      <c r="I445" s="11">
        <v>530</v>
      </c>
      <c r="J445" s="11">
        <v>2</v>
      </c>
      <c r="K445" s="11">
        <v>96000</v>
      </c>
      <c r="L445" s="10">
        <f>Table1[[#This Row],[تعداد دانلود]]+Table1[[#This Row],[تعداد تماشا ]]</f>
        <v>63</v>
      </c>
    </row>
    <row r="446" spans="1:12" x14ac:dyDescent="0.25">
      <c r="A446" s="13"/>
      <c r="B446" s="13">
        <v>8830</v>
      </c>
      <c r="C446" s="13">
        <v>417</v>
      </c>
      <c r="D446" s="13" t="s">
        <v>631</v>
      </c>
      <c r="E446" s="13" t="s">
        <v>564</v>
      </c>
      <c r="F446" s="13" t="s">
        <v>411</v>
      </c>
      <c r="G446" s="13" t="s">
        <v>11</v>
      </c>
      <c r="H446" s="11">
        <v>38</v>
      </c>
      <c r="I446" s="11">
        <v>513</v>
      </c>
      <c r="J446" s="11">
        <v>4</v>
      </c>
      <c r="K446" s="11">
        <v>121000</v>
      </c>
      <c r="L446" s="10">
        <f>Table1[[#This Row],[تعداد دانلود]]+Table1[[#This Row],[تعداد تماشا ]]</f>
        <v>42</v>
      </c>
    </row>
    <row r="447" spans="1:12" x14ac:dyDescent="0.25">
      <c r="A447" s="13">
        <v>315</v>
      </c>
      <c r="B447" s="13">
        <v>8832</v>
      </c>
      <c r="C447" s="13">
        <v>372</v>
      </c>
      <c r="D447" s="13" t="s">
        <v>605</v>
      </c>
      <c r="E447" s="13" t="s">
        <v>565</v>
      </c>
      <c r="F447" s="13" t="s">
        <v>411</v>
      </c>
      <c r="G447" s="13" t="s">
        <v>379</v>
      </c>
      <c r="H447" s="11">
        <v>167</v>
      </c>
      <c r="I447" s="11">
        <v>712</v>
      </c>
      <c r="J447" s="11">
        <v>35</v>
      </c>
      <c r="K447" s="11">
        <v>501000</v>
      </c>
      <c r="L447" s="10">
        <f>Table1[[#This Row],[تعداد دانلود]]+Table1[[#This Row],[تعداد تماشا ]]</f>
        <v>202</v>
      </c>
    </row>
    <row r="448" spans="1:12" x14ac:dyDescent="0.25">
      <c r="A448" s="13"/>
      <c r="B448" s="13">
        <v>8833</v>
      </c>
      <c r="C448" s="13">
        <v>373</v>
      </c>
      <c r="D448" s="13" t="s">
        <v>606</v>
      </c>
      <c r="E448" s="13" t="s">
        <v>565</v>
      </c>
      <c r="F448" s="13" t="s">
        <v>411</v>
      </c>
      <c r="G448" s="13" t="s">
        <v>379</v>
      </c>
      <c r="H448" s="11">
        <v>52</v>
      </c>
      <c r="I448" s="11">
        <v>232</v>
      </c>
      <c r="J448" s="11">
        <v>17</v>
      </c>
      <c r="K448" s="11">
        <v>220000</v>
      </c>
      <c r="L448" s="10">
        <f>Table1[[#This Row],[تعداد دانلود]]+Table1[[#This Row],[تعداد تماشا ]]</f>
        <v>69</v>
      </c>
    </row>
    <row r="449" spans="1:12" x14ac:dyDescent="0.25">
      <c r="A449" s="13"/>
      <c r="B449" s="13">
        <v>8834</v>
      </c>
      <c r="C449" s="13">
        <v>374</v>
      </c>
      <c r="D449" s="13" t="s">
        <v>607</v>
      </c>
      <c r="E449" s="13" t="s">
        <v>565</v>
      </c>
      <c r="F449" s="13" t="s">
        <v>411</v>
      </c>
      <c r="G449" s="13" t="s">
        <v>379</v>
      </c>
      <c r="H449" s="11">
        <v>44</v>
      </c>
      <c r="I449" s="11">
        <v>208</v>
      </c>
      <c r="J449" s="11">
        <v>8</v>
      </c>
      <c r="K449" s="11">
        <v>166000</v>
      </c>
      <c r="L449" s="10">
        <f>Table1[[#This Row],[تعداد دانلود]]+Table1[[#This Row],[تعداد تماشا ]]</f>
        <v>52</v>
      </c>
    </row>
    <row r="450" spans="1:12" x14ac:dyDescent="0.25">
      <c r="A450" s="13"/>
      <c r="B450" s="13">
        <v>8835</v>
      </c>
      <c r="C450" s="13">
        <v>363</v>
      </c>
      <c r="D450" s="13" t="s">
        <v>608</v>
      </c>
      <c r="E450" s="13" t="s">
        <v>565</v>
      </c>
      <c r="F450" s="13" t="s">
        <v>411</v>
      </c>
      <c r="G450" s="13" t="s">
        <v>379</v>
      </c>
      <c r="H450" s="11">
        <v>20</v>
      </c>
      <c r="I450" s="11">
        <v>59</v>
      </c>
      <c r="J450" s="11">
        <v>9</v>
      </c>
      <c r="K450" s="11">
        <v>81000</v>
      </c>
      <c r="L450" s="10">
        <f>Table1[[#This Row],[تعداد دانلود]]+Table1[[#This Row],[تعداد تماشا ]]</f>
        <v>29</v>
      </c>
    </row>
    <row r="451" spans="1:12" x14ac:dyDescent="0.25">
      <c r="A451" s="13"/>
      <c r="B451" s="13">
        <v>8836</v>
      </c>
      <c r="C451" s="13">
        <v>364</v>
      </c>
      <c r="D451" s="13" t="s">
        <v>609</v>
      </c>
      <c r="E451" s="13" t="s">
        <v>565</v>
      </c>
      <c r="F451" s="13" t="s">
        <v>411</v>
      </c>
      <c r="G451" s="13" t="s">
        <v>379</v>
      </c>
      <c r="H451" s="11">
        <v>25</v>
      </c>
      <c r="I451" s="11">
        <v>150</v>
      </c>
      <c r="J451" s="11">
        <v>7</v>
      </c>
      <c r="K451" s="11">
        <v>100000</v>
      </c>
      <c r="L451" s="10">
        <f>Table1[[#This Row],[تعداد دانلود]]+Table1[[#This Row],[تعداد تماشا ]]</f>
        <v>32</v>
      </c>
    </row>
    <row r="452" spans="1:12" x14ac:dyDescent="0.25">
      <c r="A452" s="13"/>
      <c r="B452" s="13">
        <v>8837</v>
      </c>
      <c r="C452" s="13">
        <v>365</v>
      </c>
      <c r="D452" s="13" t="s">
        <v>610</v>
      </c>
      <c r="E452" s="13" t="s">
        <v>565</v>
      </c>
      <c r="F452" s="13" t="s">
        <v>411</v>
      </c>
      <c r="G452" s="13" t="s">
        <v>379</v>
      </c>
      <c r="H452" s="11">
        <v>18</v>
      </c>
      <c r="I452" s="11">
        <v>58</v>
      </c>
      <c r="J452" s="11">
        <v>9</v>
      </c>
      <c r="K452" s="11">
        <v>78000</v>
      </c>
      <c r="L452" s="10">
        <f>Table1[[#This Row],[تعداد دانلود]]+Table1[[#This Row],[تعداد تماشا ]]</f>
        <v>27</v>
      </c>
    </row>
    <row r="453" spans="1:12" x14ac:dyDescent="0.25">
      <c r="A453" s="13"/>
      <c r="B453" s="13">
        <v>8838</v>
      </c>
      <c r="C453" s="13">
        <v>366</v>
      </c>
      <c r="D453" s="13" t="s">
        <v>611</v>
      </c>
      <c r="E453" s="13" t="s">
        <v>565</v>
      </c>
      <c r="F453" s="13" t="s">
        <v>411</v>
      </c>
      <c r="G453" s="13" t="s">
        <v>379</v>
      </c>
      <c r="H453" s="11">
        <v>18</v>
      </c>
      <c r="I453" s="11">
        <v>68</v>
      </c>
      <c r="J453" s="11">
        <v>8</v>
      </c>
      <c r="K453" s="11">
        <v>78000</v>
      </c>
      <c r="L453" s="10">
        <f>Table1[[#This Row],[تعداد دانلود]]+Table1[[#This Row],[تعداد تماشا ]]</f>
        <v>26</v>
      </c>
    </row>
    <row r="454" spans="1:12" x14ac:dyDescent="0.25">
      <c r="A454" s="13"/>
      <c r="B454" s="13">
        <v>8839</v>
      </c>
      <c r="C454" s="13">
        <v>367</v>
      </c>
      <c r="D454" s="13" t="s">
        <v>612</v>
      </c>
      <c r="E454" s="13" t="s">
        <v>565</v>
      </c>
      <c r="F454" s="13" t="s">
        <v>411</v>
      </c>
      <c r="G454" s="13" t="s">
        <v>379</v>
      </c>
      <c r="H454" s="11">
        <v>21</v>
      </c>
      <c r="I454" s="11">
        <v>120</v>
      </c>
      <c r="J454" s="11">
        <v>9</v>
      </c>
      <c r="K454" s="11">
        <v>93000</v>
      </c>
      <c r="L454" s="10">
        <f>Table1[[#This Row],[تعداد دانلود]]+Table1[[#This Row],[تعداد تماشا ]]</f>
        <v>30</v>
      </c>
    </row>
    <row r="455" spans="1:12" x14ac:dyDescent="0.25">
      <c r="A455" s="13"/>
      <c r="B455" s="13">
        <v>8840</v>
      </c>
      <c r="C455" s="13">
        <v>368</v>
      </c>
      <c r="D455" s="13" t="s">
        <v>613</v>
      </c>
      <c r="E455" s="13" t="s">
        <v>565</v>
      </c>
      <c r="F455" s="13" t="s">
        <v>411</v>
      </c>
      <c r="G455" s="13" t="s">
        <v>379</v>
      </c>
      <c r="H455" s="11">
        <v>10</v>
      </c>
      <c r="I455" s="11">
        <v>34</v>
      </c>
      <c r="J455" s="11">
        <v>6</v>
      </c>
      <c r="K455" s="11">
        <v>43000</v>
      </c>
      <c r="L455" s="10">
        <f>Table1[[#This Row],[تعداد دانلود]]+Table1[[#This Row],[تعداد تماشا ]]</f>
        <v>16</v>
      </c>
    </row>
    <row r="456" spans="1:12" x14ac:dyDescent="0.25">
      <c r="A456" s="13"/>
      <c r="B456" s="13">
        <v>8841</v>
      </c>
      <c r="C456" s="13">
        <v>369</v>
      </c>
      <c r="D456" s="13" t="s">
        <v>614</v>
      </c>
      <c r="E456" s="13" t="s">
        <v>565</v>
      </c>
      <c r="F456" s="13" t="s">
        <v>411</v>
      </c>
      <c r="G456" s="13" t="s">
        <v>379</v>
      </c>
      <c r="H456" s="11">
        <v>12</v>
      </c>
      <c r="I456" s="11">
        <v>54</v>
      </c>
      <c r="J456" s="11">
        <v>6</v>
      </c>
      <c r="K456" s="11">
        <v>60000</v>
      </c>
      <c r="L456" s="10">
        <f>Table1[[#This Row],[تعداد دانلود]]+Table1[[#This Row],[تعداد تماشا ]]</f>
        <v>18</v>
      </c>
    </row>
    <row r="457" spans="1:12" x14ac:dyDescent="0.25">
      <c r="A457" s="13"/>
      <c r="B457" s="13">
        <v>8842</v>
      </c>
      <c r="C457" s="13">
        <v>370</v>
      </c>
      <c r="D457" s="13" t="s">
        <v>615</v>
      </c>
      <c r="E457" s="13" t="s">
        <v>565</v>
      </c>
      <c r="F457" s="13" t="s">
        <v>411</v>
      </c>
      <c r="G457" s="13" t="s">
        <v>379</v>
      </c>
      <c r="H457" s="11">
        <v>29</v>
      </c>
      <c r="I457" s="11">
        <v>229</v>
      </c>
      <c r="J457" s="11">
        <v>5</v>
      </c>
      <c r="K457" s="11">
        <v>80000</v>
      </c>
      <c r="L457" s="10">
        <f>Table1[[#This Row],[تعداد دانلود]]+Table1[[#This Row],[تعداد تماشا ]]</f>
        <v>34</v>
      </c>
    </row>
    <row r="458" spans="1:12" x14ac:dyDescent="0.25">
      <c r="A458" s="13"/>
      <c r="B458" s="13">
        <v>8843</v>
      </c>
      <c r="C458" s="13">
        <v>371</v>
      </c>
      <c r="D458" s="13" t="s">
        <v>616</v>
      </c>
      <c r="E458" s="13" t="s">
        <v>565</v>
      </c>
      <c r="F458" s="13" t="s">
        <v>411</v>
      </c>
      <c r="G458" s="13" t="s">
        <v>379</v>
      </c>
      <c r="H458" s="11">
        <v>17</v>
      </c>
      <c r="I458" s="11">
        <v>76</v>
      </c>
      <c r="J458" s="11">
        <v>5</v>
      </c>
      <c r="K458" s="11">
        <v>52000</v>
      </c>
      <c r="L458" s="10">
        <f>Table1[[#This Row],[تعداد دانلود]]+Table1[[#This Row],[تعداد تماشا ]]</f>
        <v>22</v>
      </c>
    </row>
    <row r="459" spans="1:12" x14ac:dyDescent="0.25">
      <c r="A459" s="13">
        <v>316</v>
      </c>
      <c r="B459" s="13">
        <v>8856</v>
      </c>
      <c r="C459" s="13">
        <v>455</v>
      </c>
      <c r="D459" s="13" t="s">
        <v>593</v>
      </c>
      <c r="E459" s="13" t="s">
        <v>566</v>
      </c>
      <c r="F459" s="13" t="s">
        <v>411</v>
      </c>
      <c r="G459" s="13" t="s">
        <v>11</v>
      </c>
      <c r="H459" s="11">
        <v>34</v>
      </c>
      <c r="I459" s="11">
        <v>233</v>
      </c>
      <c r="J459" s="11">
        <v>3</v>
      </c>
      <c r="K459" s="11">
        <v>90000</v>
      </c>
      <c r="L459" s="10">
        <f>Table1[[#This Row],[تعداد دانلود]]+Table1[[#This Row],[تعداد تماشا ]]</f>
        <v>37</v>
      </c>
    </row>
    <row r="460" spans="1:12" x14ac:dyDescent="0.25">
      <c r="A460" s="13"/>
      <c r="B460" s="13">
        <v>8857</v>
      </c>
      <c r="C460" s="13">
        <v>453</v>
      </c>
      <c r="D460" s="13" t="s">
        <v>594</v>
      </c>
      <c r="E460" s="13" t="s">
        <v>566</v>
      </c>
      <c r="F460" s="13" t="s">
        <v>411</v>
      </c>
      <c r="G460" s="13" t="s">
        <v>11</v>
      </c>
      <c r="H460" s="11">
        <v>15</v>
      </c>
      <c r="I460" s="11">
        <v>50</v>
      </c>
      <c r="J460" s="11">
        <v>3</v>
      </c>
      <c r="K460" s="11">
        <v>47000</v>
      </c>
      <c r="L460" s="10">
        <f>Table1[[#This Row],[تعداد دانلود]]+Table1[[#This Row],[تعداد تماشا ]]</f>
        <v>18</v>
      </c>
    </row>
    <row r="461" spans="1:12" x14ac:dyDescent="0.25">
      <c r="A461" s="13"/>
      <c r="B461" s="13">
        <v>8858</v>
      </c>
      <c r="C461" s="13">
        <v>457</v>
      </c>
      <c r="D461" s="13" t="s">
        <v>595</v>
      </c>
      <c r="E461" s="13" t="s">
        <v>566</v>
      </c>
      <c r="F461" s="13" t="s">
        <v>411</v>
      </c>
      <c r="G461" s="13" t="s">
        <v>11</v>
      </c>
      <c r="H461" s="11">
        <v>3</v>
      </c>
      <c r="I461" s="11">
        <v>1</v>
      </c>
      <c r="J461" s="11">
        <v>2</v>
      </c>
      <c r="K461" s="11">
        <v>13000</v>
      </c>
      <c r="L461" s="10">
        <f>Table1[[#This Row],[تعداد دانلود]]+Table1[[#This Row],[تعداد تماشا ]]</f>
        <v>5</v>
      </c>
    </row>
    <row r="462" spans="1:12" x14ac:dyDescent="0.25">
      <c r="A462" s="13"/>
      <c r="B462" s="13">
        <v>8859</v>
      </c>
      <c r="C462" s="13">
        <v>454</v>
      </c>
      <c r="D462" s="13" t="s">
        <v>596</v>
      </c>
      <c r="E462" s="13" t="s">
        <v>566</v>
      </c>
      <c r="F462" s="13" t="s">
        <v>411</v>
      </c>
      <c r="G462" s="13" t="s">
        <v>11</v>
      </c>
      <c r="H462" s="11">
        <v>3</v>
      </c>
      <c r="I462" s="11">
        <v>29</v>
      </c>
      <c r="J462" s="11">
        <v>1</v>
      </c>
      <c r="K462" s="11">
        <v>21000</v>
      </c>
      <c r="L462" s="10">
        <f>Table1[[#This Row],[تعداد دانلود]]+Table1[[#This Row],[تعداد تماشا ]]</f>
        <v>4</v>
      </c>
    </row>
    <row r="463" spans="1:12" x14ac:dyDescent="0.25">
      <c r="A463" s="13"/>
      <c r="B463" s="13">
        <v>8860</v>
      </c>
      <c r="C463" s="13">
        <v>473</v>
      </c>
      <c r="D463" s="13" t="s">
        <v>597</v>
      </c>
      <c r="E463" s="13" t="s">
        <v>566</v>
      </c>
      <c r="F463" s="13" t="s">
        <v>411</v>
      </c>
      <c r="G463" s="13" t="s">
        <v>11</v>
      </c>
      <c r="H463" s="11">
        <v>2</v>
      </c>
      <c r="I463" s="11">
        <v>0</v>
      </c>
      <c r="J463" s="11">
        <v>1</v>
      </c>
      <c r="K463" s="11">
        <v>8000</v>
      </c>
      <c r="L463" s="10">
        <f>Table1[[#This Row],[تعداد دانلود]]+Table1[[#This Row],[تعداد تماشا ]]</f>
        <v>3</v>
      </c>
    </row>
    <row r="464" spans="1:12" x14ac:dyDescent="0.25">
      <c r="A464" s="13"/>
      <c r="B464" s="13">
        <v>8861</v>
      </c>
      <c r="C464" s="13">
        <v>456</v>
      </c>
      <c r="D464" s="13" t="s">
        <v>598</v>
      </c>
      <c r="E464" s="13" t="s">
        <v>566</v>
      </c>
      <c r="F464" s="13" t="s">
        <v>411</v>
      </c>
      <c r="G464" s="13" t="s">
        <v>11</v>
      </c>
      <c r="H464" s="11">
        <v>4</v>
      </c>
      <c r="I464" s="11">
        <v>0</v>
      </c>
      <c r="J464" s="11">
        <v>1</v>
      </c>
      <c r="K464" s="11">
        <v>13000</v>
      </c>
      <c r="L464" s="10">
        <f>Table1[[#This Row],[تعداد دانلود]]+Table1[[#This Row],[تعداد تماشا ]]</f>
        <v>5</v>
      </c>
    </row>
    <row r="465" spans="1:12" x14ac:dyDescent="0.25">
      <c r="A465" s="13"/>
      <c r="B465" s="13">
        <v>8862</v>
      </c>
      <c r="C465" s="13">
        <v>474</v>
      </c>
      <c r="D465" s="13" t="s">
        <v>599</v>
      </c>
      <c r="E465" s="13" t="s">
        <v>566</v>
      </c>
      <c r="F465" s="13" t="s">
        <v>411</v>
      </c>
      <c r="G465" s="13" t="s">
        <v>11</v>
      </c>
      <c r="H465" s="11">
        <v>6</v>
      </c>
      <c r="I465" s="11">
        <v>40</v>
      </c>
      <c r="J465" s="11">
        <v>1</v>
      </c>
      <c r="K465" s="11">
        <v>25000</v>
      </c>
      <c r="L465" s="10">
        <f>Table1[[#This Row],[تعداد دانلود]]+Table1[[#This Row],[تعداد تماشا ]]</f>
        <v>7</v>
      </c>
    </row>
    <row r="466" spans="1:12" x14ac:dyDescent="0.25">
      <c r="A466" s="13"/>
      <c r="B466" s="13">
        <v>8863</v>
      </c>
      <c r="C466" s="13">
        <v>458</v>
      </c>
      <c r="D466" s="13" t="s">
        <v>600</v>
      </c>
      <c r="E466" s="13" t="s">
        <v>566</v>
      </c>
      <c r="F466" s="13" t="s">
        <v>411</v>
      </c>
      <c r="G466" s="13" t="s">
        <v>11</v>
      </c>
      <c r="H466" s="11">
        <v>1</v>
      </c>
      <c r="I466" s="11">
        <v>0</v>
      </c>
      <c r="J466" s="11">
        <v>1</v>
      </c>
      <c r="K466" s="11">
        <v>14000</v>
      </c>
      <c r="L466" s="10">
        <f>Table1[[#This Row],[تعداد دانلود]]+Table1[[#This Row],[تعداد تماشا ]]</f>
        <v>2</v>
      </c>
    </row>
    <row r="467" spans="1:12" x14ac:dyDescent="0.25">
      <c r="A467" s="13"/>
      <c r="B467" s="13">
        <v>8864</v>
      </c>
      <c r="C467" s="13">
        <v>463</v>
      </c>
      <c r="D467" s="13" t="s">
        <v>601</v>
      </c>
      <c r="E467" s="13" t="s">
        <v>566</v>
      </c>
      <c r="F467" s="13" t="s">
        <v>411</v>
      </c>
      <c r="G467" s="13" t="s">
        <v>11</v>
      </c>
      <c r="H467" s="11">
        <v>1</v>
      </c>
      <c r="I467" s="11">
        <v>0</v>
      </c>
      <c r="J467" s="11">
        <v>1</v>
      </c>
      <c r="K467" s="11">
        <v>19000</v>
      </c>
      <c r="L467" s="10">
        <f>Table1[[#This Row],[تعداد دانلود]]+Table1[[#This Row],[تعداد تماشا ]]</f>
        <v>2</v>
      </c>
    </row>
    <row r="468" spans="1:12" x14ac:dyDescent="0.25">
      <c r="A468" s="13"/>
      <c r="B468" s="13">
        <v>8865</v>
      </c>
      <c r="C468" s="13">
        <v>459</v>
      </c>
      <c r="D468" s="13" t="s">
        <v>602</v>
      </c>
      <c r="E468" s="13" t="s">
        <v>566</v>
      </c>
      <c r="F468" s="13" t="s">
        <v>411</v>
      </c>
      <c r="G468" s="13" t="s">
        <v>11</v>
      </c>
      <c r="H468" s="11">
        <v>2</v>
      </c>
      <c r="I468" s="11">
        <v>23</v>
      </c>
      <c r="J468" s="11">
        <v>1</v>
      </c>
      <c r="K468" s="11">
        <v>21000</v>
      </c>
      <c r="L468" s="10">
        <f>Table1[[#This Row],[تعداد دانلود]]+Table1[[#This Row],[تعداد تماشا ]]</f>
        <v>3</v>
      </c>
    </row>
    <row r="469" spans="1:12" x14ac:dyDescent="0.25">
      <c r="A469" s="13"/>
      <c r="B469" s="13">
        <v>8866</v>
      </c>
      <c r="C469" s="13">
        <v>462</v>
      </c>
      <c r="D469" s="13" t="s">
        <v>603</v>
      </c>
      <c r="E469" s="13" t="s">
        <v>566</v>
      </c>
      <c r="F469" s="13" t="s">
        <v>411</v>
      </c>
      <c r="G469" s="13" t="s">
        <v>11</v>
      </c>
      <c r="H469" s="11">
        <v>4</v>
      </c>
      <c r="I469" s="11">
        <v>21</v>
      </c>
      <c r="J469" s="11">
        <v>1</v>
      </c>
      <c r="K469" s="11">
        <v>19000</v>
      </c>
      <c r="L469" s="10">
        <f>Table1[[#This Row],[تعداد دانلود]]+Table1[[#This Row],[تعداد تماشا ]]</f>
        <v>5</v>
      </c>
    </row>
    <row r="470" spans="1:12" x14ac:dyDescent="0.25">
      <c r="A470" s="13"/>
      <c r="B470" s="13">
        <v>8867</v>
      </c>
      <c r="C470" s="13">
        <v>461</v>
      </c>
      <c r="D470" s="13" t="s">
        <v>604</v>
      </c>
      <c r="E470" s="13" t="s">
        <v>566</v>
      </c>
      <c r="F470" s="13" t="s">
        <v>411</v>
      </c>
      <c r="G470" s="13" t="s">
        <v>11</v>
      </c>
      <c r="H470" s="11">
        <v>5</v>
      </c>
      <c r="I470" s="11">
        <v>101</v>
      </c>
      <c r="J470" s="11">
        <v>1</v>
      </c>
      <c r="K470" s="11">
        <v>45000</v>
      </c>
      <c r="L470" s="10">
        <f>Table1[[#This Row],[تعداد دانلود]]+Table1[[#This Row],[تعداد تماشا ]]</f>
        <v>6</v>
      </c>
    </row>
    <row r="471" spans="1:12" ht="36" x14ac:dyDescent="0.25">
      <c r="A471" s="13">
        <v>317</v>
      </c>
      <c r="B471" s="13">
        <v>8956</v>
      </c>
      <c r="C471" s="13">
        <v>418</v>
      </c>
      <c r="D471" s="13" t="s">
        <v>567</v>
      </c>
      <c r="E471" s="13" t="s">
        <v>568</v>
      </c>
      <c r="F471" s="13" t="s">
        <v>402</v>
      </c>
      <c r="G471" s="13" t="s">
        <v>16</v>
      </c>
      <c r="H471" s="11">
        <v>534</v>
      </c>
      <c r="I471" s="11">
        <v>8455</v>
      </c>
      <c r="J471" s="11">
        <v>87</v>
      </c>
      <c r="K471" s="11">
        <v>1178000</v>
      </c>
      <c r="L471" s="10">
        <f>Table1[[#This Row],[تعداد دانلود]]+Table1[[#This Row],[تعداد تماشا ]]</f>
        <v>621</v>
      </c>
    </row>
    <row r="472" spans="1:12" ht="36" x14ac:dyDescent="0.25">
      <c r="A472" s="13">
        <v>318</v>
      </c>
      <c r="B472" s="13">
        <v>9465</v>
      </c>
      <c r="C472" s="13">
        <v>1079</v>
      </c>
      <c r="D472" s="13" t="s">
        <v>569</v>
      </c>
      <c r="E472" s="13" t="s">
        <v>570</v>
      </c>
      <c r="F472" s="13" t="s">
        <v>402</v>
      </c>
      <c r="G472" s="13" t="s">
        <v>16</v>
      </c>
      <c r="H472" s="11">
        <v>117</v>
      </c>
      <c r="I472" s="11">
        <v>109</v>
      </c>
      <c r="J472" s="11">
        <v>25</v>
      </c>
      <c r="K472" s="11">
        <v>279000</v>
      </c>
      <c r="L472" s="10">
        <f>Table1[[#This Row],[تعداد دانلود]]+Table1[[#This Row],[تعداد تماشا ]]</f>
        <v>142</v>
      </c>
    </row>
    <row r="473" spans="1:12" ht="36" x14ac:dyDescent="0.25">
      <c r="A473" s="13">
        <v>319</v>
      </c>
      <c r="B473" s="13">
        <v>9411</v>
      </c>
      <c r="C473" s="13">
        <v>931</v>
      </c>
      <c r="D473" s="13" t="s">
        <v>571</v>
      </c>
      <c r="E473" s="13" t="s">
        <v>572</v>
      </c>
      <c r="F473" s="13" t="s">
        <v>402</v>
      </c>
      <c r="G473" s="13" t="s">
        <v>16</v>
      </c>
      <c r="H473" s="11">
        <v>266</v>
      </c>
      <c r="I473" s="11">
        <v>8559</v>
      </c>
      <c r="J473" s="11">
        <v>11</v>
      </c>
      <c r="K473" s="11">
        <v>422000</v>
      </c>
      <c r="L473" s="10">
        <f>Table1[[#This Row],[تعداد دانلود]]+Table1[[#This Row],[تعداد تماشا ]]</f>
        <v>277</v>
      </c>
    </row>
    <row r="474" spans="1:12" ht="36" x14ac:dyDescent="0.25">
      <c r="A474" s="13">
        <v>320</v>
      </c>
      <c r="B474" s="13">
        <v>9388</v>
      </c>
      <c r="C474" s="13">
        <v>928</v>
      </c>
      <c r="D474" s="13" t="s">
        <v>573</v>
      </c>
      <c r="E474" s="13" t="s">
        <v>574</v>
      </c>
      <c r="F474" s="13" t="s">
        <v>402</v>
      </c>
      <c r="G474" s="13" t="s">
        <v>16</v>
      </c>
      <c r="H474" s="11">
        <v>246</v>
      </c>
      <c r="I474" s="11">
        <v>571</v>
      </c>
      <c r="J474" s="11">
        <v>44</v>
      </c>
      <c r="K474" s="11">
        <v>635000</v>
      </c>
      <c r="L474" s="10">
        <f>Table1[[#This Row],[تعداد دانلود]]+Table1[[#This Row],[تعداد تماشا ]]</f>
        <v>290</v>
      </c>
    </row>
    <row r="475" spans="1:12" x14ac:dyDescent="0.25">
      <c r="A475" s="13">
        <v>321</v>
      </c>
      <c r="B475" s="13">
        <v>9305</v>
      </c>
      <c r="C475" s="13"/>
      <c r="D475" s="13" t="s">
        <v>575</v>
      </c>
      <c r="E475" s="13" t="s">
        <v>576</v>
      </c>
      <c r="F475" s="13" t="s">
        <v>411</v>
      </c>
      <c r="G475" s="13" t="s">
        <v>379</v>
      </c>
      <c r="H475" s="11">
        <v>306</v>
      </c>
      <c r="I475" s="11"/>
      <c r="J475" s="11">
        <v>44</v>
      </c>
      <c r="K475" s="11">
        <f>1000</f>
        <v>1000</v>
      </c>
      <c r="L475" s="10">
        <f>Table1[[#This Row],[تعداد دانلود]]+Table1[[#This Row],[تعداد تماشا ]]</f>
        <v>350</v>
      </c>
    </row>
    <row r="476" spans="1:12" ht="36" x14ac:dyDescent="0.25">
      <c r="A476" s="13">
        <v>322</v>
      </c>
      <c r="B476" s="13">
        <v>8959</v>
      </c>
      <c r="C476" s="13">
        <v>729</v>
      </c>
      <c r="D476" s="13" t="s">
        <v>577</v>
      </c>
      <c r="E476" s="13" t="s">
        <v>578</v>
      </c>
      <c r="F476" s="13" t="s">
        <v>402</v>
      </c>
      <c r="G476" s="13" t="s">
        <v>16</v>
      </c>
      <c r="H476" s="11">
        <v>354</v>
      </c>
      <c r="I476" s="11">
        <v>3908</v>
      </c>
      <c r="J476" s="11">
        <v>67</v>
      </c>
      <c r="K476" s="11" t="s">
        <v>802</v>
      </c>
      <c r="L476" s="10">
        <f>Table1[[#This Row],[تعداد دانلود]]+Table1[[#This Row],[تعداد تماشا ]]</f>
        <v>421</v>
      </c>
    </row>
    <row r="477" spans="1:12" x14ac:dyDescent="0.25">
      <c r="A477" s="13">
        <v>323</v>
      </c>
      <c r="B477" s="13">
        <v>3552</v>
      </c>
      <c r="C477" s="13"/>
      <c r="D477" s="13" t="s">
        <v>583</v>
      </c>
      <c r="E477" s="13" t="s">
        <v>579</v>
      </c>
      <c r="F477" s="13" t="s">
        <v>411</v>
      </c>
      <c r="G477" s="13" t="s">
        <v>379</v>
      </c>
      <c r="H477" s="11">
        <v>4</v>
      </c>
      <c r="I477" s="11">
        <v>3</v>
      </c>
      <c r="J477" s="11">
        <v>1</v>
      </c>
      <c r="K477" s="11">
        <f>8000</f>
        <v>8000</v>
      </c>
      <c r="L477" s="10">
        <f>Table1[[#This Row],[تعداد دانلود]]+Table1[[#This Row],[تعداد تماشا ]]</f>
        <v>5</v>
      </c>
    </row>
    <row r="478" spans="1:12" x14ac:dyDescent="0.25">
      <c r="A478" s="13"/>
      <c r="B478" s="13">
        <v>3553</v>
      </c>
      <c r="C478" s="13"/>
      <c r="D478" s="13" t="s">
        <v>584</v>
      </c>
      <c r="E478" s="13" t="s">
        <v>579</v>
      </c>
      <c r="F478" s="13" t="s">
        <v>411</v>
      </c>
      <c r="G478" s="13" t="s">
        <v>379</v>
      </c>
      <c r="H478" s="11">
        <v>3</v>
      </c>
      <c r="I478" s="11">
        <v>2</v>
      </c>
      <c r="J478" s="11">
        <v>1</v>
      </c>
      <c r="K478" s="11">
        <v>6000</v>
      </c>
      <c r="L478" s="10">
        <f>Table1[[#This Row],[تعداد دانلود]]+Table1[[#This Row],[تعداد تماشا ]]</f>
        <v>4</v>
      </c>
    </row>
    <row r="479" spans="1:12" x14ac:dyDescent="0.25">
      <c r="A479" s="13"/>
      <c r="B479" s="13">
        <v>5503</v>
      </c>
      <c r="C479" s="13"/>
      <c r="D479" s="13" t="s">
        <v>585</v>
      </c>
      <c r="E479" s="13" t="s">
        <v>579</v>
      </c>
      <c r="F479" s="13" t="s">
        <v>411</v>
      </c>
      <c r="G479" s="13" t="s">
        <v>379</v>
      </c>
      <c r="H479" s="11">
        <v>5</v>
      </c>
      <c r="I479" s="11">
        <v>3</v>
      </c>
      <c r="J479" s="11">
        <v>3</v>
      </c>
      <c r="K479" s="11">
        <v>8000</v>
      </c>
      <c r="L479" s="10">
        <f>Table1[[#This Row],[تعداد دانلود]]+Table1[[#This Row],[تعداد تماشا ]]</f>
        <v>8</v>
      </c>
    </row>
    <row r="480" spans="1:12" x14ac:dyDescent="0.25">
      <c r="A480" s="13"/>
      <c r="B480" s="13">
        <v>5504</v>
      </c>
      <c r="C480" s="13"/>
      <c r="D480" s="13" t="s">
        <v>586</v>
      </c>
      <c r="E480" s="13" t="s">
        <v>579</v>
      </c>
      <c r="F480" s="13" t="s">
        <v>411</v>
      </c>
      <c r="G480" s="13" t="s">
        <v>379</v>
      </c>
      <c r="H480" s="11">
        <v>2</v>
      </c>
      <c r="I480" s="11">
        <v>2</v>
      </c>
      <c r="J480" s="11">
        <v>1</v>
      </c>
      <c r="K480" s="11">
        <v>6000</v>
      </c>
      <c r="L480" s="10">
        <f>Table1[[#This Row],[تعداد دانلود]]+Table1[[#This Row],[تعداد تماشا ]]</f>
        <v>3</v>
      </c>
    </row>
    <row r="481" spans="1:12" x14ac:dyDescent="0.25">
      <c r="A481" s="13"/>
      <c r="B481" s="13">
        <v>5505</v>
      </c>
      <c r="C481" s="13"/>
      <c r="D481" s="13" t="s">
        <v>587</v>
      </c>
      <c r="E481" s="13" t="s">
        <v>579</v>
      </c>
      <c r="F481" s="13" t="s">
        <v>411</v>
      </c>
      <c r="G481" s="13" t="s">
        <v>379</v>
      </c>
      <c r="H481" s="11">
        <v>2</v>
      </c>
      <c r="I481" s="11">
        <v>3</v>
      </c>
      <c r="J481" s="11">
        <v>1</v>
      </c>
      <c r="K481" s="11">
        <v>6000</v>
      </c>
      <c r="L481" s="10">
        <f>Table1[[#This Row],[تعداد دانلود]]+Table1[[#This Row],[تعداد تماشا ]]</f>
        <v>3</v>
      </c>
    </row>
    <row r="482" spans="1:12" x14ac:dyDescent="0.25">
      <c r="A482" s="13"/>
      <c r="B482" s="13">
        <v>5506</v>
      </c>
      <c r="C482" s="13"/>
      <c r="D482" s="13" t="s">
        <v>588</v>
      </c>
      <c r="E482" s="13" t="s">
        <v>579</v>
      </c>
      <c r="F482" s="13" t="s">
        <v>411</v>
      </c>
      <c r="G482" s="13" t="s">
        <v>379</v>
      </c>
      <c r="H482" s="11">
        <v>1</v>
      </c>
      <c r="I482" s="11">
        <v>1</v>
      </c>
      <c r="J482" s="11">
        <v>1</v>
      </c>
      <c r="K482" s="11">
        <v>4000</v>
      </c>
      <c r="L482" s="10">
        <f>Table1[[#This Row],[تعداد دانلود]]+Table1[[#This Row],[تعداد تماشا ]]</f>
        <v>2</v>
      </c>
    </row>
    <row r="483" spans="1:12" x14ac:dyDescent="0.25">
      <c r="A483" s="13"/>
      <c r="B483" s="13">
        <v>5507</v>
      </c>
      <c r="C483" s="13"/>
      <c r="D483" s="13" t="s">
        <v>589</v>
      </c>
      <c r="E483" s="13" t="s">
        <v>579</v>
      </c>
      <c r="F483" s="13" t="s">
        <v>411</v>
      </c>
      <c r="G483" s="13" t="s">
        <v>379</v>
      </c>
      <c r="H483" s="11">
        <v>4</v>
      </c>
      <c r="I483" s="11">
        <v>2</v>
      </c>
      <c r="J483" s="11">
        <v>1</v>
      </c>
      <c r="K483" s="11">
        <v>6000</v>
      </c>
      <c r="L483" s="10">
        <f>Table1[[#This Row],[تعداد دانلود]]+Table1[[#This Row],[تعداد تماشا ]]</f>
        <v>5</v>
      </c>
    </row>
    <row r="484" spans="1:12" x14ac:dyDescent="0.25">
      <c r="A484" s="13"/>
      <c r="B484" s="13">
        <v>5508</v>
      </c>
      <c r="C484" s="13"/>
      <c r="D484" s="13" t="s">
        <v>590</v>
      </c>
      <c r="E484" s="13" t="s">
        <v>579</v>
      </c>
      <c r="F484" s="13" t="s">
        <v>411</v>
      </c>
      <c r="G484" s="13" t="s">
        <v>379</v>
      </c>
      <c r="H484" s="11">
        <v>2</v>
      </c>
      <c r="I484" s="11">
        <v>2</v>
      </c>
      <c r="J484" s="11">
        <v>1</v>
      </c>
      <c r="K484" s="11">
        <v>6000</v>
      </c>
      <c r="L484" s="10">
        <f>Table1[[#This Row],[تعداد دانلود]]+Table1[[#This Row],[تعداد تماشا ]]</f>
        <v>3</v>
      </c>
    </row>
    <row r="485" spans="1:12" x14ac:dyDescent="0.25">
      <c r="A485" s="13"/>
      <c r="B485" s="13">
        <v>5509</v>
      </c>
      <c r="C485" s="13"/>
      <c r="D485" s="13" t="s">
        <v>591</v>
      </c>
      <c r="E485" s="13" t="s">
        <v>579</v>
      </c>
      <c r="F485" s="13" t="s">
        <v>411</v>
      </c>
      <c r="G485" s="13" t="s">
        <v>379</v>
      </c>
      <c r="H485" s="11">
        <v>3</v>
      </c>
      <c r="I485" s="11">
        <v>1</v>
      </c>
      <c r="J485" s="11">
        <v>1</v>
      </c>
      <c r="K485" s="11">
        <v>4000</v>
      </c>
      <c r="L485" s="10">
        <f>Table1[[#This Row],[تعداد دانلود]]+Table1[[#This Row],[تعداد تماشا ]]</f>
        <v>4</v>
      </c>
    </row>
    <row r="486" spans="1:12" x14ac:dyDescent="0.25">
      <c r="A486" s="13"/>
      <c r="B486" s="13">
        <v>5510</v>
      </c>
      <c r="C486" s="13"/>
      <c r="D486" s="13" t="s">
        <v>592</v>
      </c>
      <c r="E486" s="13" t="s">
        <v>579</v>
      </c>
      <c r="F486" s="13" t="s">
        <v>411</v>
      </c>
      <c r="G486" s="13" t="s">
        <v>379</v>
      </c>
      <c r="H486" s="11">
        <v>2</v>
      </c>
      <c r="I486" s="11">
        <v>1</v>
      </c>
      <c r="J486" s="11">
        <v>1</v>
      </c>
      <c r="K486" s="11">
        <v>4000</v>
      </c>
      <c r="L486" s="10">
        <f>Table1[[#This Row],[تعداد دانلود]]+Table1[[#This Row],[تعداد تماشا ]]</f>
        <v>3</v>
      </c>
    </row>
    <row r="487" spans="1:12" x14ac:dyDescent="0.25">
      <c r="A487" s="15" t="s">
        <v>804</v>
      </c>
      <c r="B487" s="15"/>
      <c r="C487" s="15"/>
      <c r="D487" s="15"/>
      <c r="E487" s="15"/>
      <c r="F487" s="15"/>
      <c r="G487" s="15"/>
      <c r="H487" s="22">
        <f>SUBTOTAL(109,Table1[[تعداد تماشا ]])</f>
        <v>53590</v>
      </c>
      <c r="I487" s="22">
        <f>SUBTOTAL(109,Table1[دقایق تماشا])</f>
        <v>459408</v>
      </c>
      <c r="J487" s="22">
        <f>SUBTOTAL(109,Table1[تعداد دانلود])</f>
        <v>14188</v>
      </c>
      <c r="K487" s="22">
        <f>SUBTOTAL(109,Table1[فروش])</f>
        <v>71956850</v>
      </c>
      <c r="L487" s="23">
        <f>SUBTOTAL(109,Table1[مجموع تماشا و دانلود])</f>
        <v>67778</v>
      </c>
    </row>
  </sheetData>
  <phoneticPr fontId="3" type="noConversion"/>
  <hyperlinks>
    <hyperlink ref="E21" r:id="rId1" xr:uid="{00000000-0004-0000-0000-000000000000}"/>
    <hyperlink ref="E29" r:id="rId2" xr:uid="{00000000-0004-0000-0000-000001000000}"/>
    <hyperlink ref="E14" r:id="rId3" xr:uid="{00000000-0004-0000-0000-000002000000}"/>
    <hyperlink ref="E31" r:id="rId4" xr:uid="{00000000-0004-0000-0000-000003000000}"/>
    <hyperlink ref="E43" r:id="rId5" xr:uid="{00000000-0004-0000-0000-000004000000}"/>
    <hyperlink ref="E15" r:id="rId6" xr:uid="{00000000-0004-0000-0000-000005000000}"/>
    <hyperlink ref="E22" r:id="rId7" xr:uid="{00000000-0004-0000-0000-000006000000}"/>
    <hyperlink ref="E45" r:id="rId8" xr:uid="{00000000-0004-0000-0000-000007000000}"/>
    <hyperlink ref="E35" r:id="rId9" xr:uid="{00000000-0004-0000-0000-000008000000}"/>
    <hyperlink ref="E17" r:id="rId10" xr:uid="{00000000-0004-0000-0000-000009000000}"/>
    <hyperlink ref="E48" r:id="rId11" xr:uid="{00000000-0004-0000-0000-00000A000000}"/>
    <hyperlink ref="E38" r:id="rId12" xr:uid="{00000000-0004-0000-0000-00000B000000}"/>
    <hyperlink ref="E20" r:id="rId13" xr:uid="{00000000-0004-0000-0000-00000C000000}"/>
    <hyperlink ref="E168" r:id="rId14" xr:uid="{00000000-0004-0000-0000-00000D000000}"/>
    <hyperlink ref="E57" r:id="rId15" xr:uid="{00000000-0004-0000-0000-00000E000000}"/>
    <hyperlink ref="E64" r:id="rId16" xr:uid="{00000000-0004-0000-0000-00000F000000}"/>
    <hyperlink ref="E138" r:id="rId17" xr:uid="{00000000-0004-0000-0000-000010000000}"/>
    <hyperlink ref="E201" r:id="rId18" xr:uid="{00000000-0004-0000-0000-000011000000}"/>
    <hyperlink ref="E103" r:id="rId19" xr:uid="{00000000-0004-0000-0000-000012000000}"/>
    <hyperlink ref="E51" r:id="rId20" xr:uid="{00000000-0004-0000-0000-000013000000}"/>
    <hyperlink ref="E146" r:id="rId21" xr:uid="{00000000-0004-0000-0000-000014000000}"/>
    <hyperlink ref="E52" r:id="rId22" xr:uid="{00000000-0004-0000-0000-000015000000}"/>
    <hyperlink ref="E121" r:id="rId23" xr:uid="{00000000-0004-0000-0000-000016000000}"/>
    <hyperlink ref="E47" r:id="rId24" xr:uid="{00000000-0004-0000-0000-000017000000}"/>
    <hyperlink ref="E202" r:id="rId25" xr:uid="{00000000-0004-0000-0000-000018000000}"/>
    <hyperlink ref="E72" r:id="rId26" xr:uid="{00000000-0004-0000-0000-000019000000}"/>
    <hyperlink ref="E117" r:id="rId27" xr:uid="{00000000-0004-0000-0000-00001A000000}"/>
    <hyperlink ref="E125" r:id="rId28" xr:uid="{00000000-0004-0000-0000-00001B000000}"/>
    <hyperlink ref="E56" r:id="rId29" xr:uid="{00000000-0004-0000-0000-00001C000000}"/>
    <hyperlink ref="E131" r:id="rId30" xr:uid="{00000000-0004-0000-0000-00001D000000}"/>
    <hyperlink ref="E24" r:id="rId31" xr:uid="{00000000-0004-0000-0000-00001E000000}"/>
    <hyperlink ref="E102" r:id="rId32" xr:uid="{00000000-0004-0000-0000-00001F000000}"/>
    <hyperlink ref="E94" r:id="rId33" xr:uid="{00000000-0004-0000-0000-000020000000}"/>
    <hyperlink ref="E140" r:id="rId34" xr:uid="{00000000-0004-0000-0000-000021000000}"/>
    <hyperlink ref="E19" r:id="rId35" xr:uid="{00000000-0004-0000-0000-000022000000}"/>
    <hyperlink ref="E41" r:id="rId36" xr:uid="{00000000-0004-0000-0000-000023000000}"/>
    <hyperlink ref="E63" r:id="rId37" xr:uid="{00000000-0004-0000-0000-000024000000}"/>
    <hyperlink ref="E26" r:id="rId38" xr:uid="{00000000-0004-0000-0000-000025000000}"/>
    <hyperlink ref="E147" r:id="rId39" xr:uid="{00000000-0004-0000-0000-000026000000}"/>
    <hyperlink ref="E25" r:id="rId40" xr:uid="{00000000-0004-0000-0000-000027000000}"/>
    <hyperlink ref="E164" r:id="rId41" xr:uid="{00000000-0004-0000-0000-000028000000}"/>
    <hyperlink ref="E144" r:id="rId42" xr:uid="{00000000-0004-0000-0000-000029000000}"/>
    <hyperlink ref="E200" r:id="rId43" xr:uid="{00000000-0004-0000-0000-00002A000000}"/>
    <hyperlink ref="E148" r:id="rId44" xr:uid="{00000000-0004-0000-0000-00002B000000}"/>
    <hyperlink ref="E176" r:id="rId45" xr:uid="{00000000-0004-0000-0000-00002C000000}"/>
    <hyperlink ref="E199" r:id="rId46" xr:uid="{00000000-0004-0000-0000-00002D000000}"/>
    <hyperlink ref="E54" r:id="rId47" xr:uid="{00000000-0004-0000-0000-00002E000000}"/>
    <hyperlink ref="E186" r:id="rId48" xr:uid="{00000000-0004-0000-0000-00002F000000}"/>
    <hyperlink ref="E185" r:id="rId49" xr:uid="{00000000-0004-0000-0000-000030000000}"/>
    <hyperlink ref="E143" r:id="rId50" xr:uid="{00000000-0004-0000-0000-000031000000}"/>
    <hyperlink ref="E145" r:id="rId51" xr:uid="{00000000-0004-0000-0000-000032000000}"/>
    <hyperlink ref="E9" r:id="rId52" xr:uid="{00000000-0004-0000-0000-000033000000}"/>
    <hyperlink ref="E130" r:id="rId53" xr:uid="{00000000-0004-0000-0000-000034000000}"/>
    <hyperlink ref="E23" r:id="rId54" xr:uid="{00000000-0004-0000-0000-000035000000}"/>
    <hyperlink ref="E34" r:id="rId55" xr:uid="{00000000-0004-0000-0000-000036000000}"/>
    <hyperlink ref="E179" r:id="rId56" xr:uid="{00000000-0004-0000-0000-000037000000}"/>
    <hyperlink ref="E165" r:id="rId57" xr:uid="{00000000-0004-0000-0000-000038000000}"/>
    <hyperlink ref="E170" r:id="rId58" xr:uid="{00000000-0004-0000-0000-000039000000}"/>
    <hyperlink ref="E50" r:id="rId59" xr:uid="{00000000-0004-0000-0000-00003A000000}"/>
    <hyperlink ref="E177" r:id="rId60" xr:uid="{00000000-0004-0000-0000-00003B000000}"/>
    <hyperlink ref="E122" r:id="rId61" xr:uid="{00000000-0004-0000-0000-00003C000000}"/>
    <hyperlink ref="E32" r:id="rId62" xr:uid="{00000000-0004-0000-0000-00003D000000}"/>
    <hyperlink ref="E187" r:id="rId63" xr:uid="{00000000-0004-0000-0000-00003E000000}"/>
    <hyperlink ref="E59" r:id="rId64" xr:uid="{00000000-0004-0000-0000-00003F000000}"/>
    <hyperlink ref="E169" r:id="rId65" xr:uid="{00000000-0004-0000-0000-000040000000}"/>
    <hyperlink ref="E184" r:id="rId66" xr:uid="{00000000-0004-0000-0000-000041000000}"/>
    <hyperlink ref="E203" r:id="rId67" xr:uid="{00000000-0004-0000-0000-000042000000}"/>
    <hyperlink ref="E69" r:id="rId68" xr:uid="{00000000-0004-0000-0000-000043000000}"/>
    <hyperlink ref="E178" r:id="rId69" xr:uid="{00000000-0004-0000-0000-000044000000}"/>
    <hyperlink ref="E73" r:id="rId70" xr:uid="{00000000-0004-0000-0000-000045000000}"/>
    <hyperlink ref="E30" r:id="rId71" xr:uid="{00000000-0004-0000-0000-000046000000}"/>
    <hyperlink ref="E62" r:id="rId72" xr:uid="{00000000-0004-0000-0000-000047000000}"/>
    <hyperlink ref="E10" r:id="rId73" xr:uid="{00000000-0004-0000-0000-000048000000}"/>
    <hyperlink ref="E106" r:id="rId74" xr:uid="{00000000-0004-0000-0000-000049000000}"/>
    <hyperlink ref="E46" r:id="rId75" xr:uid="{00000000-0004-0000-0000-00004A000000}"/>
    <hyperlink ref="E175" r:id="rId76" xr:uid="{00000000-0004-0000-0000-00004B000000}"/>
    <hyperlink ref="E74" r:id="rId77" xr:uid="{00000000-0004-0000-0000-00004C000000}"/>
    <hyperlink ref="E75" r:id="rId78" xr:uid="{00000000-0004-0000-0000-00004D000000}"/>
    <hyperlink ref="E76" r:id="rId79" xr:uid="{00000000-0004-0000-0000-00004E000000}"/>
    <hyperlink ref="E77" r:id="rId80" xr:uid="{00000000-0004-0000-0000-00004F000000}"/>
    <hyperlink ref="E78" r:id="rId81" xr:uid="{00000000-0004-0000-0000-000050000000}"/>
    <hyperlink ref="E79" r:id="rId82" xr:uid="{00000000-0004-0000-0000-000051000000}"/>
    <hyperlink ref="E80" r:id="rId83" xr:uid="{00000000-0004-0000-0000-000052000000}"/>
    <hyperlink ref="E81" r:id="rId84" xr:uid="{00000000-0004-0000-0000-000053000000}"/>
    <hyperlink ref="E82" r:id="rId85" xr:uid="{00000000-0004-0000-0000-000054000000}"/>
    <hyperlink ref="E83" r:id="rId86" xr:uid="{00000000-0004-0000-0000-000055000000}"/>
    <hyperlink ref="E86" r:id="rId87" xr:uid="{00000000-0004-0000-0000-000056000000}"/>
    <hyperlink ref="E87" r:id="rId88" xr:uid="{00000000-0004-0000-0000-000057000000}"/>
    <hyperlink ref="E88" r:id="rId89" xr:uid="{00000000-0004-0000-0000-000058000000}"/>
    <hyperlink ref="E89" r:id="rId90" xr:uid="{00000000-0004-0000-0000-000059000000}"/>
    <hyperlink ref="E90" r:id="rId91" xr:uid="{00000000-0004-0000-0000-00005A000000}"/>
    <hyperlink ref="E91" r:id="rId92" xr:uid="{00000000-0004-0000-0000-00005B000000}"/>
    <hyperlink ref="E92" r:id="rId93" xr:uid="{00000000-0004-0000-0000-00005C000000}"/>
    <hyperlink ref="E93" r:id="rId94" xr:uid="{00000000-0004-0000-0000-00005D000000}"/>
    <hyperlink ref="E95" r:id="rId95" xr:uid="{00000000-0004-0000-0000-00005E000000}"/>
    <hyperlink ref="E96" r:id="rId96" xr:uid="{00000000-0004-0000-0000-00005F000000}"/>
    <hyperlink ref="E97" r:id="rId97" xr:uid="{00000000-0004-0000-0000-000060000000}"/>
    <hyperlink ref="E98" r:id="rId98" xr:uid="{00000000-0004-0000-0000-000061000000}"/>
    <hyperlink ref="E99" r:id="rId99" xr:uid="{00000000-0004-0000-0000-000062000000}"/>
    <hyperlink ref="E100" r:id="rId100" xr:uid="{00000000-0004-0000-0000-000063000000}"/>
    <hyperlink ref="E101" r:id="rId101" xr:uid="{00000000-0004-0000-0000-000064000000}"/>
    <hyperlink ref="E16" r:id="rId102" xr:uid="{00000000-0004-0000-0000-000065000000}"/>
    <hyperlink ref="E104" r:id="rId103" xr:uid="{00000000-0004-0000-0000-000066000000}"/>
    <hyperlink ref="E105" r:id="rId104" xr:uid="{00000000-0004-0000-0000-000067000000}"/>
    <hyperlink ref="E2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97" r:id="rId112" xr:uid="{00000000-0004-0000-0000-00006F000000}"/>
    <hyperlink ref="E65" r:id="rId113" xr:uid="{00000000-0004-0000-0000-000070000000}"/>
    <hyperlink ref="E85" r:id="rId114" xr:uid="{00000000-0004-0000-0000-000071000000}"/>
    <hyperlink ref="E204" r:id="rId115" xr:uid="{00000000-0004-0000-0000-000072000000}"/>
    <hyperlink ref="E49" r:id="rId116" xr:uid="{00000000-0004-0000-0000-000073000000}"/>
    <hyperlink ref="E71" r:id="rId117" xr:uid="{00000000-0004-0000-0000-000074000000}"/>
    <hyperlink ref="E196" r:id="rId118" xr:uid="{00000000-0004-0000-0000-000075000000}"/>
    <hyperlink ref="E123" r:id="rId119" xr:uid="{00000000-0004-0000-0000-000076000000}"/>
    <hyperlink ref="E84" r:id="rId120" xr:uid="{00000000-0004-0000-0000-000077000000}"/>
    <hyperlink ref="E174" r:id="rId121" xr:uid="{00000000-0004-0000-0000-000078000000}"/>
    <hyperlink ref="E198" r:id="rId122" xr:uid="{00000000-0004-0000-0000-000079000000}"/>
    <hyperlink ref="E183" r:id="rId123" xr:uid="{00000000-0004-0000-0000-00007A000000}"/>
    <hyperlink ref="E113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41" r:id="rId129" xr:uid="{00000000-0004-0000-0000-000080000000}"/>
    <hyperlink ref="E17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16" r:id="rId137" xr:uid="{00000000-0004-0000-0000-000088000000}"/>
    <hyperlink ref="E195" r:id="rId138" xr:uid="{00000000-0004-0000-0000-000089000000}"/>
    <hyperlink ref="E173" r:id="rId139" xr:uid="{00000000-0004-0000-0000-00008A000000}"/>
    <hyperlink ref="E149" r:id="rId140" xr:uid="{00000000-0004-0000-0000-00008B000000}"/>
    <hyperlink ref="E119" r:id="rId141" xr:uid="{00000000-0004-0000-0000-00008C000000}"/>
    <hyperlink ref="E67" r:id="rId142" xr:uid="{00000000-0004-0000-0000-00008D000000}"/>
    <hyperlink ref="E58" r:id="rId143" xr:uid="{00000000-0004-0000-0000-00008E000000}"/>
    <hyperlink ref="E193" r:id="rId144" xr:uid="{00000000-0004-0000-0000-00008F000000}"/>
    <hyperlink ref="E55" r:id="rId145" xr:uid="{00000000-0004-0000-0000-000090000000}"/>
    <hyperlink ref="E118" r:id="rId146" xr:uid="{00000000-0004-0000-0000-000091000000}"/>
    <hyperlink ref="E172" r:id="rId147" xr:uid="{00000000-0004-0000-0000-000092000000}"/>
    <hyperlink ref="E139" r:id="rId148" xr:uid="{00000000-0004-0000-0000-000093000000}"/>
    <hyperlink ref="E150" r:id="rId149" xr:uid="{78C915D9-22DE-4E76-AA61-06AC6CA5FD20}"/>
    <hyperlink ref="E158" r:id="rId150" xr:uid="{FE2156FC-117D-48B7-9126-339DB8D54DAA}"/>
    <hyperlink ref="E151" r:id="rId151" xr:uid="{8B3579A1-CCC5-4C5C-B99F-4106C9883FAE}"/>
    <hyperlink ref="E152" r:id="rId152" xr:uid="{D9FE86BF-D324-4058-AAAB-AC0FA85E1392}"/>
    <hyperlink ref="E153" r:id="rId153" xr:uid="{AB045AE4-AB66-4E80-9054-82076D1AE863}"/>
    <hyperlink ref="E154" r:id="rId154" xr:uid="{FD0F977E-030E-411D-B243-7FCDACF09702}"/>
    <hyperlink ref="E155" r:id="rId155" xr:uid="{11B0E972-1659-4B6F-A3E4-BB85114882E5}"/>
    <hyperlink ref="E156" r:id="rId156" xr:uid="{2866617E-B82D-46D4-AB62-249D459785A7}"/>
    <hyperlink ref="E157" r:id="rId157" xr:uid="{D0A20271-3123-4A15-A208-0A7405288662}"/>
    <hyperlink ref="E159" r:id="rId158" xr:uid="{E0A6BAE4-27EA-4799-AD8F-F24EF4AC2785}"/>
    <hyperlink ref="E160" r:id="rId159" xr:uid="{9CCC5352-4C87-46AC-92B3-6BBD9F0685CE}"/>
    <hyperlink ref="E161" r:id="rId160" xr:uid="{9C78C072-78ED-4575-B6D3-93559C5E359B}"/>
    <hyperlink ref="E162" r:id="rId161" xr:uid="{78C92E50-F0C8-49A8-9735-DD83A5378B2E}"/>
    <hyperlink ref="E66" r:id="rId162" xr:uid="{31212342-A7A7-45FB-B471-BA6CB9783164}"/>
    <hyperlink ref="E37" r:id="rId163" xr:uid="{3B838511-886C-4B07-8543-31D0F4923DEE}"/>
    <hyperlink ref="E27" r:id="rId164" xr:uid="{A528EFA5-4084-4F9F-84FF-0ECD76C25BD1}"/>
    <hyperlink ref="E142" r:id="rId165" xr:uid="{7B186756-2CB5-4F41-AFA6-36C25C0FE063}"/>
    <hyperlink ref="E70" r:id="rId166" xr:uid="{90D85DDD-7ACE-47C5-A18C-40A1475B979F}"/>
    <hyperlink ref="E163" r:id="rId167" xr:uid="{B22C993A-4AFE-407F-BC9A-175C878AED42}"/>
    <hyperlink ref="E68" r:id="rId168" xr:uid="{3FC9AF1F-F778-494F-A9B7-A1E541D8B3A9}"/>
    <hyperlink ref="E60" r:id="rId169" xr:uid="{71F8B1B8-C5A6-4A41-87BB-58ADBBC47A88}"/>
    <hyperlink ref="E13" r:id="rId170" xr:uid="{6E34FDCA-74CF-4FB0-86CC-2D4B33F44BC4}"/>
    <hyperlink ref="E12" r:id="rId171" xr:uid="{A88CFB21-C0E3-4D0D-8771-539AC48E4306}"/>
    <hyperlink ref="E115" r:id="rId172" xr:uid="{381C4DB9-A594-4DA8-BFD8-19757B0E4374}"/>
    <hyperlink ref="E124" r:id="rId173" xr:uid="{776B1D3F-B429-49BA-A519-3382F1933602}"/>
    <hyperlink ref="E42" r:id="rId174" xr:uid="{E33A02E2-FF7F-473B-B75C-1761BAEC6ACD}"/>
    <hyperlink ref="E39" r:id="rId175" xr:uid="{EF7E2064-6F92-4E09-931F-BCA2087E69C1}"/>
    <hyperlink ref="E4" r:id="rId176" xr:uid="{3CB634C6-9A53-4F69-888E-236BE4DE3AF0}"/>
    <hyperlink ref="E44" r:id="rId177" xr:uid="{C6F75193-E357-42CF-A5AB-E08C22851FB3}"/>
    <hyperlink ref="E53" r:id="rId178" xr:uid="{AFC8E688-AC4C-46BC-A0D9-A42DF4985D92}"/>
    <hyperlink ref="E180" r:id="rId179" xr:uid="{F5278CC5-3DFA-47C9-8E70-31D0DA5155BB}"/>
    <hyperlink ref="E181:E182" r:id="rId180" display="https://ammaryar.ir/m/mxera" xr:uid="{8536F4AE-EFF9-4AF0-A6E7-C116F6D61C51}"/>
    <hyperlink ref="E11" r:id="rId181" xr:uid="{B1B63FB0-FF78-4472-9912-9678DA5B827E}"/>
    <hyperlink ref="E5" r:id="rId182" xr:uid="{8ADC2ADF-3C36-438F-9068-BE5CB6687551}"/>
    <hyperlink ref="E40" r:id="rId183" xr:uid="{98CF92D0-AC4A-4675-AB49-61D27ADDBFBF}"/>
    <hyperlink ref="E166" r:id="rId184" xr:uid="{F2578066-E8AA-4CFD-B688-B0F2A382FB46}"/>
    <hyperlink ref="E120" r:id="rId185" xr:uid="{B6D42AA5-FC3C-435F-A643-BCC614892181}"/>
    <hyperlink ref="E188" r:id="rId186" xr:uid="{340F53B2-7EF6-4F95-8CCA-32A0F89B1EA1}"/>
    <hyperlink ref="E189:E192" r:id="rId187" display="https://ammaryar.ir/m/mai6a" xr:uid="{BCEBFA89-8024-423E-838A-EAA77FDDD2A7}"/>
    <hyperlink ref="E6" r:id="rId188" xr:uid="{8157D37A-62B3-413B-989C-60B4AAD2C1B5}"/>
    <hyperlink ref="E114" r:id="rId189" xr:uid="{BE0317B6-0B66-4C36-9246-DE7036127840}"/>
    <hyperlink ref="E33" r:id="rId190" xr:uid="{71CDB560-C4EB-48DA-9EDA-61E432A249BA}"/>
    <hyperlink ref="E167" r:id="rId191" xr:uid="{E1E72583-5551-4250-A082-8A593A68D26E}"/>
    <hyperlink ref="E194" r:id="rId192" xr:uid="{71B7CD3D-9C3C-4B21-88BE-80A3CE30C638}"/>
    <hyperlink ref="E3" r:id="rId193" xr:uid="{45E24E6D-4FB2-4079-8DC7-FA986446F4C2}"/>
    <hyperlink ref="E18" r:id="rId194" xr:uid="{1B2E2714-8C00-48FA-B61A-FB15217ECB0B}"/>
    <hyperlink ref="E8" r:id="rId195" xr:uid="{B3943A2A-BBC5-4845-AE7C-C164C0789165}"/>
    <hyperlink ref="E36" r:id="rId196" xr:uid="{06B7A987-3328-45CE-AF4B-F6C43BB182C0}"/>
    <hyperlink ref="E61" r:id="rId197" xr:uid="{042936D0-DC9E-48C5-B1A0-9F40713B849A}"/>
    <hyperlink ref="E7" r:id="rId198" xr:uid="{69E9F864-1361-48DF-A95A-154EB784D159}"/>
    <hyperlink ref="E28" r:id="rId199" xr:uid="{6E158AB7-C3AA-4135-96DA-982EDA15542A}"/>
    <hyperlink ref="E205" r:id="rId200" xr:uid="{D9E38873-8A51-43B5-A9EB-0CC4889CF199}"/>
    <hyperlink ref="E206" r:id="rId201" xr:uid="{33F4E089-3116-48C8-A9A1-9EB802661687}"/>
    <hyperlink ref="E207" r:id="rId202" xr:uid="{2CC13644-DDCC-4FF4-B0B2-551B6BF56F47}"/>
    <hyperlink ref="E208" r:id="rId203" xr:uid="{592A7D09-3F02-4EE4-B317-E00956EB3D58}"/>
    <hyperlink ref="E209" r:id="rId204" xr:uid="{C0ED293B-AA50-4508-BA9D-0A191EB5E61A}"/>
    <hyperlink ref="E210" r:id="rId205" xr:uid="{6CC87F04-04A1-4097-8564-AF13289F1CBF}"/>
    <hyperlink ref="E211" r:id="rId206" xr:uid="{BF7EBCF6-DB4A-413F-B90C-4F3FD247F076}"/>
    <hyperlink ref="E212" r:id="rId207" xr:uid="{25B07C29-103A-4EC3-A76B-7DED665E758B}"/>
    <hyperlink ref="E213" r:id="rId208" xr:uid="{BFCF9974-2CE2-4DD0-A50A-CDE9B13161B1}"/>
    <hyperlink ref="E214" r:id="rId209" xr:uid="{C71B50D8-C8D9-4D88-A52B-1FB93F8B730E}"/>
    <hyperlink ref="E215" r:id="rId210" xr:uid="{018170E2-E1BD-4469-8771-5CEE3EE0A682}"/>
    <hyperlink ref="E216" r:id="rId211" xr:uid="{EF094C17-ECD7-45C7-8838-3F9BDFECCEB0}"/>
    <hyperlink ref="E217" r:id="rId212" xr:uid="{AE641352-D095-4510-AC6C-6863622F57AF}"/>
    <hyperlink ref="E218" r:id="rId213" xr:uid="{2AE40525-A21B-4416-AAAB-873730CA1735}"/>
    <hyperlink ref="E219" r:id="rId214" xr:uid="{E4BCD802-829C-463F-BA1D-7E34A9B8688B}"/>
    <hyperlink ref="E220" r:id="rId215" xr:uid="{C125467C-F754-4C81-A5CC-10895722DA8D}"/>
    <hyperlink ref="E221" r:id="rId216" xr:uid="{08C8BFCB-4555-4805-A700-2E61F479F307}"/>
    <hyperlink ref="E222" r:id="rId217" xr:uid="{09BD02D3-2116-4727-98DC-1DBB7C8F4DC1}"/>
    <hyperlink ref="E223" r:id="rId218" xr:uid="{AA9C2843-E74A-4AA9-95F5-01B179060B81}"/>
    <hyperlink ref="E224" r:id="rId219" xr:uid="{0ED17E39-A7A6-4631-8166-BF35A7049FB9}"/>
    <hyperlink ref="E225" r:id="rId220" xr:uid="{38C84C9E-87B0-4524-8974-6BF3DB0EC835}"/>
    <hyperlink ref="E238" r:id="rId221" xr:uid="{6B1255B3-EB4C-4DBF-8315-5A8F028881D9}"/>
    <hyperlink ref="E239" r:id="rId222" xr:uid="{1A52058A-C0DC-4CBF-B270-3299CEB98061}"/>
    <hyperlink ref="E247" r:id="rId223" xr:uid="{A069D28C-AE4C-4019-AD33-E626CC9FE1AE}"/>
    <hyperlink ref="E252" r:id="rId224" xr:uid="{06E15269-C7B4-4E1F-8BBE-742D410C8DEB}"/>
    <hyperlink ref="E263" r:id="rId225" xr:uid="{51BA3FDA-57FC-4735-92AB-27EE8223AA7B}"/>
    <hyperlink ref="E267" r:id="rId226" xr:uid="{34908488-0449-4DCA-8E25-F3A7EFDB878C}"/>
    <hyperlink ref="E274" r:id="rId227" xr:uid="{F21649E3-1107-4561-91FB-A33894FBC1E7}"/>
    <hyperlink ref="E275" r:id="rId228" xr:uid="{01F80E35-D358-4611-9AFD-16AB69A8DCC1}"/>
    <hyperlink ref="E276" r:id="rId229" xr:uid="{A37B85A4-A6C9-4EE2-A94F-A4E6E1DB2D87}"/>
    <hyperlink ref="E277" r:id="rId230" xr:uid="{43EE99DB-327B-4E29-9D12-1583C1A068EA}"/>
    <hyperlink ref="E278" r:id="rId231" xr:uid="{9C643654-3D86-460D-9631-56C944E27BB5}"/>
    <hyperlink ref="E279" r:id="rId232" xr:uid="{6044699E-E694-45BB-861C-041B51357EB5}"/>
    <hyperlink ref="E280" r:id="rId233" xr:uid="{6840017F-BDE4-4345-B13D-DC1D8086293C}"/>
    <hyperlink ref="E290" r:id="rId234" xr:uid="{F3BEA0BF-6A2D-41F2-991B-D8B23C1B9B1D}"/>
    <hyperlink ref="E291" r:id="rId235" xr:uid="{A7B3E21B-49CA-4B8A-8535-E8E4E77BD064}"/>
    <hyperlink ref="E294" r:id="rId236" xr:uid="{5C95F57E-A437-47D4-8A9D-A5B23671E6E5}"/>
    <hyperlink ref="E295" r:id="rId237" xr:uid="{7573B05B-65CD-4BDF-86F9-1737B8778296}"/>
    <hyperlink ref="E305" r:id="rId238" xr:uid="{5466F1E6-E30B-418E-90A0-060874987171}"/>
    <hyperlink ref="E306" r:id="rId239" xr:uid="{0DF7A003-0837-4933-9BC5-43CB72D06A4B}"/>
    <hyperlink ref="E307" r:id="rId240" xr:uid="{7E1FC2C9-E06A-4433-AD2F-0ED079A7586C}"/>
    <hyperlink ref="E308" r:id="rId241" xr:uid="{A58F1873-7AA0-403B-908D-2D809AE00C7A}"/>
    <hyperlink ref="E309" r:id="rId242" xr:uid="{0B08CFE4-C0C7-4AFA-AEE2-CDAC39D562BE}"/>
    <hyperlink ref="E310" r:id="rId243" xr:uid="{5F773E68-DE8B-47AA-A77B-A6548E9C339B}"/>
    <hyperlink ref="E311" r:id="rId244" xr:uid="{40FEC7BE-A0D9-465E-AF34-46C63ACC5EEE}"/>
    <hyperlink ref="E312" r:id="rId245" xr:uid="{A14AAFD0-3992-4A45-BF19-082867854C83}"/>
    <hyperlink ref="E313" r:id="rId246" xr:uid="{E4BD6DFA-F8A8-49A4-9516-5E8C430A0E92}"/>
    <hyperlink ref="E314" r:id="rId247" xr:uid="{597FE772-89A4-49BB-9D3A-9232E26AEA5D}"/>
    <hyperlink ref="E315" r:id="rId248" xr:uid="{1F82BC5D-A3C9-4E6E-A6C6-AFA4699B2F32}"/>
    <hyperlink ref="E316" r:id="rId249" xr:uid="{6327A29F-9DE2-4FE2-BB1A-768533928E59}"/>
    <hyperlink ref="E317" r:id="rId250" xr:uid="{D80AF6B6-2851-4C04-B9B2-D87B81035859}"/>
    <hyperlink ref="E324" r:id="rId251" xr:uid="{9CB11C83-BCDF-4B17-B945-C2CD3CAB2241}"/>
    <hyperlink ref="E325" r:id="rId252" xr:uid="{0DC3FF93-76B0-42C9-BF3B-DB77ACB30E27}"/>
    <hyperlink ref="E326" r:id="rId253" xr:uid="{5B138FB6-D067-4CD1-B375-27CA0C566DFB}"/>
    <hyperlink ref="E327" r:id="rId254" xr:uid="{DE7F1FA6-62A9-42DF-8027-1716FE7A5F46}"/>
    <hyperlink ref="E328" r:id="rId255" xr:uid="{125F51BE-5785-4B25-9C3E-786B60F75EFC}"/>
    <hyperlink ref="E329" r:id="rId256" xr:uid="{1A46EB4A-C04A-4F4B-8A8C-370EA9964F85}"/>
    <hyperlink ref="E330" r:id="rId257" xr:uid="{1956A373-6CEA-491E-A096-A1E094A36FD1}"/>
    <hyperlink ref="E331" r:id="rId258" xr:uid="{A0D20E0C-D5C8-4AD8-B41B-6CE9AC245CE2}"/>
    <hyperlink ref="E332" r:id="rId259" xr:uid="{9F070DC0-6D37-427B-9BD9-159E7D797708}"/>
    <hyperlink ref="E333" r:id="rId260" xr:uid="{1EFBC1D3-8552-41D1-904A-351E7B93D049}"/>
    <hyperlink ref="E334" r:id="rId261" xr:uid="{083984D5-585C-4C03-8ECC-F480F2E37808}"/>
    <hyperlink ref="E335" r:id="rId262" xr:uid="{C62859A0-CCC5-42D0-8A45-659438F8BB8B}"/>
    <hyperlink ref="E336" r:id="rId263" xr:uid="{8D6906E4-DBBB-46C6-A344-5C4A9E551BCF}"/>
    <hyperlink ref="E337" r:id="rId264" xr:uid="{539521E0-48DA-4527-9F84-84E94C57F1EB}"/>
    <hyperlink ref="E338" r:id="rId265" xr:uid="{D653DA9D-D298-461B-94D5-82065366B540}"/>
    <hyperlink ref="E339" r:id="rId266" xr:uid="{D959DE83-D8D1-49C6-A362-DB27C931ED23}"/>
    <hyperlink ref="E340" r:id="rId267" xr:uid="{3AA57B02-50A2-4A2F-9918-400BF17F8E5F}"/>
    <hyperlink ref="E341" r:id="rId268" xr:uid="{03EB2A3D-ED44-4E89-870D-677F74FDB988}"/>
    <hyperlink ref="E342" r:id="rId269" xr:uid="{67573FDA-912D-4618-86EE-4378CA6C3B43}"/>
    <hyperlink ref="E348" r:id="rId270" xr:uid="{20CD72AC-97D1-418E-8C9A-A00B7CB8003B}"/>
    <hyperlink ref="E349" r:id="rId271" xr:uid="{198E9FF1-EA3A-49D4-8087-B5DE534EE5D3}"/>
    <hyperlink ref="E350" r:id="rId272" xr:uid="{B888DEA9-1942-4C28-8EB9-E64ECB268FB4}"/>
    <hyperlink ref="E351" r:id="rId273" xr:uid="{A4FE2FB0-FB66-418C-B53F-ED455DE553E9}"/>
    <hyperlink ref="E352" r:id="rId274" xr:uid="{3DBC6AAE-F344-4BB1-9A35-4959B7F55A64}"/>
    <hyperlink ref="E359" r:id="rId275" xr:uid="{9CDC864E-A5C9-45CF-B3F4-6ADB7FC0578A}"/>
    <hyperlink ref="E360" r:id="rId276" xr:uid="{17B62B21-BF9D-4D81-B59D-BF9FD80EE681}"/>
    <hyperlink ref="E365" r:id="rId277" xr:uid="{E27CB06C-691C-40E8-AE89-4993F45C34E1}"/>
    <hyperlink ref="E376" r:id="rId278" xr:uid="{D96F3736-6CF7-4873-AF07-2DDBF0BDAA2D}"/>
    <hyperlink ref="E377" r:id="rId279" xr:uid="{A2D8DACE-EE70-457D-8841-F2FF1F76B176}"/>
    <hyperlink ref="E382" r:id="rId280" xr:uid="{5A513168-D5FC-4ECD-BFD9-DC25C7B957F8}"/>
    <hyperlink ref="E383" r:id="rId281" xr:uid="{5A7993A5-BCC8-4201-B96C-A2AFB34537EC}"/>
    <hyperlink ref="E384" r:id="rId282" xr:uid="{DBFD53E0-8A07-4245-9C8B-EF13475242D4}"/>
    <hyperlink ref="E385" r:id="rId283" xr:uid="{A8076FA9-36C7-4253-B81E-41BABDED9EAE}"/>
    <hyperlink ref="E386" r:id="rId284" xr:uid="{14B0C6DA-D794-42E2-A314-7150D68A0809}"/>
    <hyperlink ref="E387" r:id="rId285" xr:uid="{3C2C90FC-294F-4268-B62A-3A7026CBD773}"/>
    <hyperlink ref="E388" r:id="rId286" xr:uid="{90B74F21-D218-41E9-A058-3CF273D12E86}"/>
    <hyperlink ref="E389" r:id="rId287" xr:uid="{8DFEB1BE-8048-49FF-9F27-409CC856E7C7}"/>
    <hyperlink ref="E390" r:id="rId288" xr:uid="{8C66FC83-6F39-4535-AFDF-CCE12A5C9DD5}"/>
    <hyperlink ref="E404" r:id="rId289" xr:uid="{DA05E9FE-2C1F-4697-B65F-6FCD25511152}"/>
    <hyperlink ref="E405" r:id="rId290" xr:uid="{A893F9AA-EFE2-4E3D-A6BB-99CD8C876913}"/>
    <hyperlink ref="E406" r:id="rId291" xr:uid="{EEB26102-5055-4C3D-A29E-6FA2EBD160CD}"/>
    <hyperlink ref="E407" r:id="rId292" xr:uid="{C3D13A4A-B3E6-42B4-A384-2DB10FEE030E}"/>
    <hyperlink ref="E408" r:id="rId293" xr:uid="{FE064706-B91F-4102-B9D5-21957D0A5FF2}"/>
    <hyperlink ref="E409" r:id="rId294" xr:uid="{E69EC68E-9319-4760-87DC-3DB64476AEB7}"/>
    <hyperlink ref="E410" r:id="rId295" xr:uid="{4A9D7535-0797-49D8-8EA7-CBEC1BA1312A}"/>
    <hyperlink ref="E411" r:id="rId296" xr:uid="{8693D835-E4B8-493D-9DF4-7C89F305C45A}"/>
    <hyperlink ref="E412" r:id="rId297" xr:uid="{D3C1E9A7-3E88-43FB-9F2D-6009BDEDBD62}"/>
    <hyperlink ref="E413" r:id="rId298" xr:uid="{506F0059-A701-4D7E-9C12-2A7BB93CE20C}"/>
    <hyperlink ref="E414" r:id="rId299" xr:uid="{68C6747A-7D0B-4EF4-A4C5-D1C7271189FC}"/>
    <hyperlink ref="E415" r:id="rId300" xr:uid="{F829853C-AAB5-4CE2-BBCB-86D0A0159F26}"/>
    <hyperlink ref="E417" r:id="rId301" xr:uid="{A4D60B48-C3D2-4848-A2A3-4300B5C8BBC2}"/>
    <hyperlink ref="E418" r:id="rId302" xr:uid="{ADE134AF-5F19-4518-9D2F-F416B9BF754B}"/>
    <hyperlink ref="E432" r:id="rId303" xr:uid="{B6202DEF-A83E-4B36-BCCD-4D577F6BEF0B}"/>
    <hyperlink ref="E447" r:id="rId304" xr:uid="{FF7D24D5-867C-4646-80A1-AD0A32F71408}"/>
    <hyperlink ref="E459" r:id="rId305" xr:uid="{BBF11FC2-720D-4D2E-8444-BA093A4A364D}"/>
    <hyperlink ref="E471" r:id="rId306" xr:uid="{2F64D85C-7305-4D90-B185-93B8F2EE7121}"/>
    <hyperlink ref="E472" r:id="rId307" xr:uid="{B1AACD2C-6ECE-4D79-A120-66C2BA21F99C}"/>
    <hyperlink ref="E473" r:id="rId308" xr:uid="{A00259F0-711B-4DD9-A73C-2F8B17BCD227}"/>
    <hyperlink ref="E474" r:id="rId309" xr:uid="{4E3FDE9F-1DEF-4615-A1D5-9D920B0FF48C}"/>
    <hyperlink ref="E475" r:id="rId310" xr:uid="{D5FA525A-DC87-40CE-8C7F-D0572A6952D2}"/>
    <hyperlink ref="E476" r:id="rId311" xr:uid="{B3366BAA-C194-4DA5-9622-7B1E22325E20}"/>
    <hyperlink ref="E477" r:id="rId312" xr:uid="{9BDCF80E-ADA4-4DE7-94A1-58CC065C2EA4}"/>
    <hyperlink ref="E448:E458" r:id="rId313" display="https://ammaryar.ir/m/cdfii" xr:uid="{BECFEED7-1A75-4627-94F7-FAAF32C7FC01}"/>
    <hyperlink ref="E391" r:id="rId314" xr:uid="{10BBB725-122C-4D7A-86C2-ADA46F10E1B2}"/>
    <hyperlink ref="E392:E403" r:id="rId315" display="https://ammaryar.ir/m/gsacy" xr:uid="{65168B5E-BDE8-4193-BA02-843D1BD09710}"/>
    <hyperlink ref="E378:E381" r:id="rId316" display="https://ammaryar.ir/m/lnjvl" xr:uid="{5C6AD399-1244-4690-93B0-2264C1332D05}"/>
    <hyperlink ref="E361:E364" r:id="rId317" display="https://ammaryar.ir/m/ty4ja" xr:uid="{6925F0CE-42AB-4062-B900-DCD7B809A7D0}"/>
    <hyperlink ref="E366:E375" r:id="rId318" display="https://ammaryar.ir/m/hhr91" xr:uid="{36C4118B-20C9-4CCF-ADD3-54117F813A99}"/>
    <hyperlink ref="E478:E486" r:id="rId319" display="https://ammaryar.ir/m/xoqf9" xr:uid="{CB4AC418-C6B6-4719-BBF3-8EA3388BD988}"/>
    <hyperlink ref="E460:E470" r:id="rId320" display="https://ammaryar.ir/m/kjrb7" xr:uid="{428F8E1B-FCA7-45F6-BA61-FD4519455472}"/>
    <hyperlink ref="E433:E446" r:id="rId321" display="https://ammaryar.ir/m/bm8n5" xr:uid="{A240BB7D-B3B4-46E3-B1D3-2E0A4B5A8814}"/>
    <hyperlink ref="E419:E431" r:id="rId322" display="https://ammaryar.ir/m/owcf6" xr:uid="{A647A0EC-1413-4E1B-A783-56F405A194D3}"/>
    <hyperlink ref="E353:E358" r:id="rId323" display="https://ammaryar.ir/m/cve71" xr:uid="{C1884741-9B20-4769-85AD-9DFA854D752F}"/>
    <hyperlink ref="E343:E347" r:id="rId324" display="https://ammaryar.ir/m/oru54" xr:uid="{7246146F-F548-4873-ABAE-37DC86BD6A50}"/>
    <hyperlink ref="E318:E323" r:id="rId325" display="https://ammaryar.ir/m/wcxr8" xr:uid="{9231B8FA-E757-4CDC-B5E4-463E53ED1154}"/>
    <hyperlink ref="E296:E304" r:id="rId326" display="https://ammaryar.ir/m/ekeav" xr:uid="{F8734E87-7DFE-4D68-90A3-84AB41E37D0E}"/>
    <hyperlink ref="E292:E293" r:id="rId327" display="https://ammaryar.ir/m/kipnk" xr:uid="{ADF8418C-7DD1-42D1-94C3-4103853F7CBD}"/>
    <hyperlink ref="E281:E289" r:id="rId328" display="https://ammaryar.ir/m/aoj2g" xr:uid="{9544E544-74FB-4973-982B-FFBA08603175}"/>
    <hyperlink ref="E268:E273" r:id="rId329" display="https://ammaryar.ir/m/kwu7t" xr:uid="{B44FE188-F44C-498F-B1F1-A5E050DFC0AA}"/>
    <hyperlink ref="E264:E266" r:id="rId330" display="https://ammaryar.ir/m/tb37r" xr:uid="{BAF84C57-C42E-4E51-939F-104DE8780607}"/>
    <hyperlink ref="E253:E262" r:id="rId331" display="https://ammaryar.ir/m/ycqvu" xr:uid="{525B60AE-F520-4100-932D-FBEEDA2480B3}"/>
    <hyperlink ref="E248:E251" r:id="rId332" display="https://ammaryar.ir/m/mz2xk" xr:uid="{98CAA37B-FC5F-4FD6-B4D7-1B05DE388FB5}"/>
    <hyperlink ref="E240:E246" r:id="rId333" display="https://ammaryar.ir/m/oysgm" xr:uid="{FE39AF86-0C9D-4073-ADF8-381403F5D6B1}"/>
    <hyperlink ref="E226:E237" r:id="rId334" display="https://ammaryar.ir/m/gvwv5" xr:uid="{0277332D-CEAC-437E-B847-63A290F0DD77}"/>
  </hyperlinks>
  <pageMargins left="0.7" right="0.7" top="0.75" bottom="0.75" header="0.3" footer="0.3"/>
  <pageSetup orientation="portrait" horizontalDpi="4294967295" verticalDpi="4294967295" r:id="rId335"/>
  <tableParts count="1">
    <tablePart r:id="rId3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AC8C-05CF-4B5D-8016-A9491B46FB7D}">
  <dimension ref="A1:K10"/>
  <sheetViews>
    <sheetView rightToLeft="1" workbookViewId="0">
      <selection sqref="A1:XFD1048576"/>
    </sheetView>
  </sheetViews>
  <sheetFormatPr defaultRowHeight="15" x14ac:dyDescent="0.25"/>
  <cols>
    <col min="2" max="2" width="15.140625" customWidth="1"/>
    <col min="3" max="3" width="23.28515625" customWidth="1"/>
    <col min="4" max="4" width="18.42578125" bestFit="1" customWidth="1"/>
    <col min="5" max="5" width="14.140625" bestFit="1" customWidth="1"/>
    <col min="6" max="6" width="17.28515625" bestFit="1" customWidth="1"/>
    <col min="7" max="7" width="9.85546875" customWidth="1"/>
    <col min="8" max="8" width="27.7109375" bestFit="1" customWidth="1"/>
    <col min="9" max="9" width="20.28515625" bestFit="1" customWidth="1"/>
    <col min="10" max="10" width="18" bestFit="1" customWidth="1"/>
    <col min="11" max="11" width="14.7109375" bestFit="1" customWidth="1"/>
  </cols>
  <sheetData>
    <row r="1" spans="1:11" ht="18" x14ac:dyDescent="0.25">
      <c r="A1" s="3" t="s">
        <v>771</v>
      </c>
      <c r="B1" s="4" t="s">
        <v>3</v>
      </c>
      <c r="C1" s="4" t="s">
        <v>772</v>
      </c>
      <c r="D1" s="3" t="s">
        <v>773</v>
      </c>
      <c r="E1" s="3" t="s">
        <v>782</v>
      </c>
      <c r="F1" s="3" t="s">
        <v>783</v>
      </c>
      <c r="G1" s="3" t="s">
        <v>379</v>
      </c>
      <c r="H1" s="3" t="s">
        <v>774</v>
      </c>
      <c r="I1" s="3" t="s">
        <v>775</v>
      </c>
      <c r="J1" s="3" t="s">
        <v>776</v>
      </c>
      <c r="K1" s="3" t="s">
        <v>777</v>
      </c>
    </row>
    <row r="2" spans="1:11" ht="17.25" x14ac:dyDescent="0.25">
      <c r="A2" s="1">
        <v>1</v>
      </c>
      <c r="B2" s="2" t="s">
        <v>5</v>
      </c>
      <c r="C2" s="2">
        <v>53</v>
      </c>
      <c r="D2" s="1">
        <v>53</v>
      </c>
      <c r="E2" s="1">
        <v>6</v>
      </c>
      <c r="F2" s="1">
        <v>47</v>
      </c>
      <c r="G2" s="2" t="s">
        <v>785</v>
      </c>
      <c r="H2" s="1">
        <v>4447</v>
      </c>
      <c r="I2" s="1">
        <v>38645</v>
      </c>
      <c r="J2" s="1">
        <v>2441</v>
      </c>
      <c r="K2" s="1"/>
    </row>
    <row r="3" spans="1:11" ht="17.25" x14ac:dyDescent="0.25">
      <c r="A3" s="1">
        <v>2</v>
      </c>
      <c r="B3" s="2" t="s">
        <v>331</v>
      </c>
      <c r="C3" s="2">
        <v>51</v>
      </c>
      <c r="D3" s="1">
        <v>12</v>
      </c>
      <c r="E3" s="7" t="s">
        <v>789</v>
      </c>
      <c r="F3" s="7" t="s">
        <v>790</v>
      </c>
      <c r="G3" s="2"/>
      <c r="H3" s="1">
        <v>1460</v>
      </c>
      <c r="I3" s="1">
        <v>10542</v>
      </c>
      <c r="J3" s="5">
        <v>1479</v>
      </c>
      <c r="K3" s="1"/>
    </row>
    <row r="4" spans="1:11" ht="17.25" x14ac:dyDescent="0.25">
      <c r="A4" s="1">
        <v>3</v>
      </c>
      <c r="B4" s="2" t="s">
        <v>4</v>
      </c>
      <c r="C4" s="2">
        <v>13</v>
      </c>
      <c r="D4" s="1">
        <v>2</v>
      </c>
      <c r="E4" s="7" t="s">
        <v>788</v>
      </c>
      <c r="F4" s="7" t="s">
        <v>787</v>
      </c>
      <c r="G4" s="2" t="s">
        <v>785</v>
      </c>
      <c r="H4" s="1">
        <v>196</v>
      </c>
      <c r="I4" s="1">
        <v>2867</v>
      </c>
      <c r="J4" s="1">
        <v>45</v>
      </c>
      <c r="K4" s="1"/>
    </row>
    <row r="5" spans="1:11" ht="17.25" x14ac:dyDescent="0.25">
      <c r="A5" s="1">
        <v>4</v>
      </c>
      <c r="B5" s="2" t="s">
        <v>9</v>
      </c>
      <c r="C5" s="2">
        <v>86</v>
      </c>
      <c r="D5" s="1">
        <v>86</v>
      </c>
      <c r="E5" s="1">
        <v>11</v>
      </c>
      <c r="F5" s="1">
        <v>75</v>
      </c>
      <c r="G5" s="2" t="s">
        <v>785</v>
      </c>
      <c r="H5" s="1">
        <v>6720</v>
      </c>
      <c r="I5" s="1">
        <v>81531</v>
      </c>
      <c r="J5" s="1">
        <v>1783</v>
      </c>
      <c r="K5" s="1"/>
    </row>
    <row r="6" spans="1:11" ht="17.25" x14ac:dyDescent="0.25">
      <c r="A6" s="1">
        <v>5</v>
      </c>
      <c r="B6" s="2" t="s">
        <v>778</v>
      </c>
      <c r="C6" s="2">
        <v>1</v>
      </c>
      <c r="D6" s="1">
        <v>1</v>
      </c>
      <c r="E6" s="1" t="s">
        <v>785</v>
      </c>
      <c r="F6" s="1">
        <v>1</v>
      </c>
      <c r="G6" s="2" t="s">
        <v>785</v>
      </c>
      <c r="H6" s="1">
        <v>26</v>
      </c>
      <c r="I6" s="1">
        <v>102</v>
      </c>
      <c r="J6" s="1">
        <v>7</v>
      </c>
      <c r="K6" s="1"/>
    </row>
    <row r="7" spans="1:11" ht="17.25" x14ac:dyDescent="0.25">
      <c r="A7" s="1">
        <v>6</v>
      </c>
      <c r="B7" s="2" t="s">
        <v>402</v>
      </c>
      <c r="C7" s="2">
        <v>48</v>
      </c>
      <c r="D7" s="1">
        <v>48</v>
      </c>
      <c r="E7" s="1">
        <v>28</v>
      </c>
      <c r="F7" s="1">
        <v>18</v>
      </c>
      <c r="G7" s="6">
        <v>2</v>
      </c>
      <c r="H7" s="1">
        <v>20100</v>
      </c>
      <c r="I7" s="1">
        <v>204482</v>
      </c>
      <c r="J7" s="1">
        <v>4047</v>
      </c>
      <c r="K7" s="1"/>
    </row>
    <row r="8" spans="1:11" ht="34.5" x14ac:dyDescent="0.25">
      <c r="A8" s="1">
        <v>7</v>
      </c>
      <c r="B8" s="2" t="s">
        <v>411</v>
      </c>
      <c r="C8" s="2">
        <v>1254</v>
      </c>
      <c r="D8" s="1">
        <v>42</v>
      </c>
      <c r="E8" s="6" t="s">
        <v>786</v>
      </c>
      <c r="F8" s="1" t="s">
        <v>785</v>
      </c>
      <c r="G8" s="6" t="s">
        <v>784</v>
      </c>
      <c r="H8" s="1">
        <v>17683</v>
      </c>
      <c r="I8" s="1">
        <v>109974</v>
      </c>
      <c r="J8" s="1">
        <v>3785</v>
      </c>
      <c r="K8" s="1"/>
    </row>
    <row r="9" spans="1:11" ht="17.25" x14ac:dyDescent="0.25">
      <c r="A9" s="1">
        <v>8</v>
      </c>
      <c r="B9" s="2" t="s">
        <v>403</v>
      </c>
      <c r="C9" s="2">
        <v>24</v>
      </c>
      <c r="D9" s="1">
        <v>24</v>
      </c>
      <c r="E9" s="1">
        <v>4</v>
      </c>
      <c r="F9" s="1">
        <v>2</v>
      </c>
      <c r="G9" s="2">
        <v>18</v>
      </c>
      <c r="H9" s="1">
        <v>2958</v>
      </c>
      <c r="I9" s="1">
        <v>11265</v>
      </c>
      <c r="J9" s="1">
        <v>601</v>
      </c>
      <c r="K9" s="1"/>
    </row>
    <row r="10" spans="1:11" ht="17.25" x14ac:dyDescent="0.25">
      <c r="A10" s="2"/>
      <c r="B10" s="2" t="s">
        <v>779</v>
      </c>
      <c r="C10" s="2">
        <f>SUM(C2:C9)</f>
        <v>1530</v>
      </c>
      <c r="D10" s="2">
        <f t="shared" ref="D10:J10" si="0">SUM(D2:D9)</f>
        <v>268</v>
      </c>
      <c r="E10" s="2"/>
      <c r="F10" s="2"/>
      <c r="G10" s="2"/>
      <c r="H10" s="2">
        <f t="shared" si="0"/>
        <v>53590</v>
      </c>
      <c r="I10" s="2">
        <f t="shared" si="0"/>
        <v>459408</v>
      </c>
      <c r="J10" s="2">
        <f t="shared" si="0"/>
        <v>14188</v>
      </c>
      <c r="K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80B7-64EA-4B01-89CE-0F607322FE7B}">
  <dimension ref="A1:B7"/>
  <sheetViews>
    <sheetView rightToLeft="1" workbookViewId="0">
      <selection activeCell="A14" sqref="A14"/>
    </sheetView>
  </sheetViews>
  <sheetFormatPr defaultRowHeight="15" x14ac:dyDescent="0.25"/>
  <cols>
    <col min="1" max="1" width="35.5703125" bestFit="1" customWidth="1"/>
  </cols>
  <sheetData>
    <row r="1" spans="1:2" x14ac:dyDescent="0.25">
      <c r="A1" s="8" t="s">
        <v>791</v>
      </c>
      <c r="B1" s="8" t="s">
        <v>792</v>
      </c>
    </row>
    <row r="2" spans="1:2" x14ac:dyDescent="0.25">
      <c r="A2" s="8" t="s">
        <v>797</v>
      </c>
      <c r="B2" s="9">
        <v>14188</v>
      </c>
    </row>
    <row r="3" spans="1:2" x14ac:dyDescent="0.25">
      <c r="A3" s="8" t="s">
        <v>798</v>
      </c>
      <c r="B3" s="9">
        <v>171467</v>
      </c>
    </row>
    <row r="4" spans="1:2" x14ac:dyDescent="0.25">
      <c r="A4" s="8" t="s">
        <v>795</v>
      </c>
      <c r="B4" s="9">
        <v>53590</v>
      </c>
    </row>
    <row r="5" spans="1:2" x14ac:dyDescent="0.25">
      <c r="A5" s="8" t="s">
        <v>793</v>
      </c>
      <c r="B5" s="9">
        <v>372532</v>
      </c>
    </row>
    <row r="6" spans="1:2" x14ac:dyDescent="0.25">
      <c r="A6" s="8" t="s">
        <v>796</v>
      </c>
      <c r="B6" s="9">
        <v>459408</v>
      </c>
    </row>
    <row r="7" spans="1:2" x14ac:dyDescent="0.25">
      <c r="A7" s="8" t="s">
        <v>794</v>
      </c>
      <c r="B7" s="9">
        <v>3261986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26FF-B859-468D-98D9-2266F7BE06D6}">
  <dimension ref="A1:D9"/>
  <sheetViews>
    <sheetView rightToLeft="1" workbookViewId="0">
      <selection activeCell="D14" sqref="D14"/>
    </sheetView>
  </sheetViews>
  <sheetFormatPr defaultRowHeight="15" x14ac:dyDescent="0.25"/>
  <cols>
    <col min="2" max="2" width="12.28515625" customWidth="1"/>
    <col min="3" max="3" width="17.7109375" customWidth="1"/>
    <col min="4" max="4" width="18.42578125" bestFit="1" customWidth="1"/>
  </cols>
  <sheetData>
    <row r="1" spans="1:4" ht="36" x14ac:dyDescent="0.25">
      <c r="A1" s="3" t="s">
        <v>771</v>
      </c>
      <c r="B1" s="4" t="s">
        <v>3</v>
      </c>
      <c r="C1" s="4" t="s">
        <v>772</v>
      </c>
      <c r="D1" s="3" t="s">
        <v>773</v>
      </c>
    </row>
    <row r="2" spans="1:4" ht="17.25" x14ac:dyDescent="0.25">
      <c r="A2" s="1">
        <v>1</v>
      </c>
      <c r="B2" s="2" t="s">
        <v>5</v>
      </c>
      <c r="C2" s="2">
        <v>53</v>
      </c>
      <c r="D2" s="1">
        <v>53</v>
      </c>
    </row>
    <row r="3" spans="1:4" ht="17.25" x14ac:dyDescent="0.25">
      <c r="A3" s="1">
        <v>2</v>
      </c>
      <c r="B3" s="2" t="s">
        <v>331</v>
      </c>
      <c r="C3" s="2">
        <v>51</v>
      </c>
      <c r="D3" s="1">
        <v>12</v>
      </c>
    </row>
    <row r="4" spans="1:4" ht="17.25" x14ac:dyDescent="0.25">
      <c r="A4" s="1">
        <v>3</v>
      </c>
      <c r="B4" s="2" t="s">
        <v>4</v>
      </c>
      <c r="C4" s="2">
        <v>13</v>
      </c>
      <c r="D4" s="1">
        <v>2</v>
      </c>
    </row>
    <row r="5" spans="1:4" ht="17.25" x14ac:dyDescent="0.25">
      <c r="A5" s="1">
        <v>4</v>
      </c>
      <c r="B5" s="2" t="s">
        <v>9</v>
      </c>
      <c r="C5" s="2">
        <v>86</v>
      </c>
      <c r="D5" s="1">
        <v>86</v>
      </c>
    </row>
    <row r="6" spans="1:4" ht="17.25" x14ac:dyDescent="0.25">
      <c r="A6" s="1">
        <v>5</v>
      </c>
      <c r="B6" s="2" t="s">
        <v>778</v>
      </c>
      <c r="C6" s="2">
        <v>1</v>
      </c>
      <c r="D6" s="1">
        <v>1</v>
      </c>
    </row>
    <row r="7" spans="1:4" ht="17.25" x14ac:dyDescent="0.25">
      <c r="A7" s="1">
        <v>6</v>
      </c>
      <c r="B7" s="2" t="s">
        <v>402</v>
      </c>
      <c r="C7" s="2">
        <v>48</v>
      </c>
      <c r="D7" s="1">
        <v>48</v>
      </c>
    </row>
    <row r="8" spans="1:4" ht="17.25" x14ac:dyDescent="0.25">
      <c r="A8" s="1">
        <v>7</v>
      </c>
      <c r="B8" s="2" t="s">
        <v>411</v>
      </c>
      <c r="C8" s="2">
        <v>1254</v>
      </c>
      <c r="D8" s="1">
        <v>42</v>
      </c>
    </row>
    <row r="9" spans="1:4" ht="17.25" x14ac:dyDescent="0.25">
      <c r="A9" s="1">
        <v>8</v>
      </c>
      <c r="B9" s="2" t="s">
        <v>403</v>
      </c>
      <c r="C9" s="2">
        <v>24</v>
      </c>
      <c r="D9" s="1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1A9F-BCF9-4D85-95B2-71EA07B62048}">
  <dimension ref="A1:C9"/>
  <sheetViews>
    <sheetView rightToLeft="1" workbookViewId="0">
      <selection activeCell="C11" sqref="C11"/>
    </sheetView>
  </sheetViews>
  <sheetFormatPr defaultRowHeight="15" x14ac:dyDescent="0.25"/>
  <cols>
    <col min="3" max="3" width="20.28515625" bestFit="1" customWidth="1"/>
  </cols>
  <sheetData>
    <row r="1" spans="1:3" ht="18" x14ac:dyDescent="0.25">
      <c r="A1" s="3" t="s">
        <v>771</v>
      </c>
      <c r="B1" s="4" t="s">
        <v>3</v>
      </c>
      <c r="C1" s="3" t="s">
        <v>775</v>
      </c>
    </row>
    <row r="2" spans="1:3" ht="17.25" x14ac:dyDescent="0.25">
      <c r="A2" s="1">
        <v>1</v>
      </c>
      <c r="B2" s="2" t="s">
        <v>5</v>
      </c>
      <c r="C2" s="1">
        <v>38645</v>
      </c>
    </row>
    <row r="3" spans="1:3" ht="17.25" x14ac:dyDescent="0.25">
      <c r="A3" s="1">
        <v>2</v>
      </c>
      <c r="B3" s="2" t="s">
        <v>331</v>
      </c>
      <c r="C3" s="1">
        <v>10542</v>
      </c>
    </row>
    <row r="4" spans="1:3" ht="17.25" x14ac:dyDescent="0.25">
      <c r="A4" s="1">
        <v>3</v>
      </c>
      <c r="B4" s="2" t="s">
        <v>4</v>
      </c>
      <c r="C4" s="1">
        <v>2867</v>
      </c>
    </row>
    <row r="5" spans="1:3" ht="17.25" x14ac:dyDescent="0.25">
      <c r="A5" s="1">
        <v>4</v>
      </c>
      <c r="B5" s="2" t="s">
        <v>9</v>
      </c>
      <c r="C5" s="1">
        <v>81531</v>
      </c>
    </row>
    <row r="6" spans="1:3" ht="17.25" x14ac:dyDescent="0.25">
      <c r="A6" s="1">
        <v>5</v>
      </c>
      <c r="B6" s="2" t="s">
        <v>778</v>
      </c>
      <c r="C6" s="1">
        <v>102</v>
      </c>
    </row>
    <row r="7" spans="1:3" ht="34.5" x14ac:dyDescent="0.25">
      <c r="A7" s="1">
        <v>6</v>
      </c>
      <c r="B7" s="2" t="s">
        <v>402</v>
      </c>
      <c r="C7" s="1">
        <v>204482</v>
      </c>
    </row>
    <row r="8" spans="1:3" ht="34.5" x14ac:dyDescent="0.25">
      <c r="A8" s="1">
        <v>7</v>
      </c>
      <c r="B8" s="2" t="s">
        <v>411</v>
      </c>
      <c r="C8" s="1">
        <v>109974</v>
      </c>
    </row>
    <row r="9" spans="1:3" ht="17.25" x14ac:dyDescent="0.25">
      <c r="A9" s="1">
        <v>8</v>
      </c>
      <c r="B9" s="2" t="s">
        <v>403</v>
      </c>
      <c r="C9" s="1">
        <v>11265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5823-1BB5-4463-A705-FF7ED1B19D56}">
  <dimension ref="A1:C9"/>
  <sheetViews>
    <sheetView rightToLeft="1" workbookViewId="0">
      <selection activeCell="C14" sqref="C14"/>
    </sheetView>
  </sheetViews>
  <sheetFormatPr defaultRowHeight="15" x14ac:dyDescent="0.25"/>
  <cols>
    <col min="3" max="3" width="27.7109375" bestFit="1" customWidth="1"/>
  </cols>
  <sheetData>
    <row r="1" spans="1:3" ht="18" x14ac:dyDescent="0.25">
      <c r="A1" s="3" t="s">
        <v>771</v>
      </c>
      <c r="B1" s="4" t="s">
        <v>3</v>
      </c>
      <c r="C1" s="3" t="s">
        <v>774</v>
      </c>
    </row>
    <row r="2" spans="1:3" ht="17.25" x14ac:dyDescent="0.25">
      <c r="A2" s="1">
        <v>1</v>
      </c>
      <c r="B2" s="2" t="s">
        <v>5</v>
      </c>
      <c r="C2" s="1">
        <v>4447</v>
      </c>
    </row>
    <row r="3" spans="1:3" ht="17.25" x14ac:dyDescent="0.25">
      <c r="A3" s="1">
        <v>2</v>
      </c>
      <c r="B3" s="2" t="s">
        <v>331</v>
      </c>
      <c r="C3" s="1">
        <v>1460</v>
      </c>
    </row>
    <row r="4" spans="1:3" ht="17.25" x14ac:dyDescent="0.25">
      <c r="A4" s="1">
        <v>3</v>
      </c>
      <c r="B4" s="2" t="s">
        <v>4</v>
      </c>
      <c r="C4" s="1">
        <v>196</v>
      </c>
    </row>
    <row r="5" spans="1:3" ht="17.25" x14ac:dyDescent="0.25">
      <c r="A5" s="1">
        <v>4</v>
      </c>
      <c r="B5" s="2" t="s">
        <v>9</v>
      </c>
      <c r="C5" s="1">
        <v>6720</v>
      </c>
    </row>
    <row r="6" spans="1:3" ht="17.25" x14ac:dyDescent="0.25">
      <c r="A6" s="1">
        <v>5</v>
      </c>
      <c r="B6" s="2" t="s">
        <v>778</v>
      </c>
      <c r="C6" s="1">
        <v>26</v>
      </c>
    </row>
    <row r="7" spans="1:3" ht="34.5" x14ac:dyDescent="0.25">
      <c r="A7" s="1">
        <v>6</v>
      </c>
      <c r="B7" s="2" t="s">
        <v>402</v>
      </c>
      <c r="C7" s="1">
        <v>20100</v>
      </c>
    </row>
    <row r="8" spans="1:3" ht="34.5" x14ac:dyDescent="0.25">
      <c r="A8" s="1">
        <v>7</v>
      </c>
      <c r="B8" s="2" t="s">
        <v>411</v>
      </c>
      <c r="C8" s="1">
        <v>17683</v>
      </c>
    </row>
    <row r="9" spans="1:3" ht="17.25" x14ac:dyDescent="0.25">
      <c r="A9" s="1">
        <v>8</v>
      </c>
      <c r="B9" s="2" t="s">
        <v>403</v>
      </c>
      <c r="C9" s="1">
        <v>2958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B81C-B5DC-4F70-8796-FC500895B421}">
  <dimension ref="A1:C9"/>
  <sheetViews>
    <sheetView rightToLeft="1" workbookViewId="0">
      <selection activeCell="C12" sqref="C12"/>
    </sheetView>
  </sheetViews>
  <sheetFormatPr defaultRowHeight="15" x14ac:dyDescent="0.25"/>
  <cols>
    <col min="3" max="3" width="18" bestFit="1" customWidth="1"/>
  </cols>
  <sheetData>
    <row r="1" spans="1:3" ht="18" x14ac:dyDescent="0.25">
      <c r="A1" s="3" t="s">
        <v>771</v>
      </c>
      <c r="B1" s="4" t="s">
        <v>3</v>
      </c>
      <c r="C1" s="3" t="s">
        <v>776</v>
      </c>
    </row>
    <row r="2" spans="1:3" ht="17.25" x14ac:dyDescent="0.25">
      <c r="A2" s="1">
        <v>1</v>
      </c>
      <c r="B2" s="2" t="s">
        <v>5</v>
      </c>
      <c r="C2" s="1">
        <v>2441</v>
      </c>
    </row>
    <row r="3" spans="1:3" ht="17.25" x14ac:dyDescent="0.25">
      <c r="A3" s="1">
        <v>2</v>
      </c>
      <c r="B3" s="2" t="s">
        <v>331</v>
      </c>
      <c r="C3" s="5">
        <v>1479</v>
      </c>
    </row>
    <row r="4" spans="1:3" ht="17.25" x14ac:dyDescent="0.25">
      <c r="A4" s="1">
        <v>3</v>
      </c>
      <c r="B4" s="2" t="s">
        <v>4</v>
      </c>
      <c r="C4" s="1">
        <v>45</v>
      </c>
    </row>
    <row r="5" spans="1:3" ht="17.25" x14ac:dyDescent="0.25">
      <c r="A5" s="1">
        <v>4</v>
      </c>
      <c r="B5" s="2" t="s">
        <v>9</v>
      </c>
      <c r="C5" s="1">
        <v>1783</v>
      </c>
    </row>
    <row r="6" spans="1:3" ht="17.25" x14ac:dyDescent="0.25">
      <c r="A6" s="1">
        <v>5</v>
      </c>
      <c r="B6" s="2" t="s">
        <v>778</v>
      </c>
      <c r="C6" s="1">
        <v>7</v>
      </c>
    </row>
    <row r="7" spans="1:3" ht="34.5" x14ac:dyDescent="0.25">
      <c r="A7" s="1">
        <v>6</v>
      </c>
      <c r="B7" s="2" t="s">
        <v>402</v>
      </c>
      <c r="C7" s="1">
        <v>4047</v>
      </c>
    </row>
    <row r="8" spans="1:3" ht="34.5" x14ac:dyDescent="0.25">
      <c r="A8" s="1">
        <v>7</v>
      </c>
      <c r="B8" s="2" t="s">
        <v>411</v>
      </c>
      <c r="C8" s="1">
        <v>3785</v>
      </c>
    </row>
    <row r="9" spans="1:3" ht="17.25" x14ac:dyDescent="0.25">
      <c r="A9" s="1">
        <v>8</v>
      </c>
      <c r="B9" s="2" t="s">
        <v>403</v>
      </c>
      <c r="C9" s="1">
        <v>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F1D-BB13-49DE-8B8C-104B792A437B}">
  <dimension ref="A1:E5"/>
  <sheetViews>
    <sheetView rightToLeft="1" workbookViewId="0">
      <selection activeCell="D11" sqref="D11"/>
    </sheetView>
  </sheetViews>
  <sheetFormatPr defaultRowHeight="15" x14ac:dyDescent="0.25"/>
  <cols>
    <col min="3" max="3" width="13.28515625" bestFit="1" customWidth="1"/>
    <col min="4" max="4" width="9.7109375" bestFit="1" customWidth="1"/>
    <col min="5" max="5" width="18" bestFit="1" customWidth="1"/>
  </cols>
  <sheetData>
    <row r="1" spans="1:5" ht="18" x14ac:dyDescent="0.25">
      <c r="A1" s="3" t="s">
        <v>771</v>
      </c>
      <c r="B1" s="4" t="s">
        <v>10</v>
      </c>
      <c r="C1" s="3" t="s">
        <v>800</v>
      </c>
      <c r="D1" s="3" t="s">
        <v>0</v>
      </c>
      <c r="E1" s="3" t="s">
        <v>801</v>
      </c>
    </row>
    <row r="2" spans="1:5" ht="17.25" x14ac:dyDescent="0.25">
      <c r="A2" s="1">
        <v>1</v>
      </c>
      <c r="B2" s="2" t="s">
        <v>799</v>
      </c>
      <c r="C2" s="1">
        <v>9393</v>
      </c>
      <c r="D2" s="1">
        <v>35835</v>
      </c>
      <c r="E2" s="1">
        <v>1784</v>
      </c>
    </row>
    <row r="3" spans="1:5" ht="34.5" x14ac:dyDescent="0.25">
      <c r="A3" s="1">
        <v>2</v>
      </c>
      <c r="B3" s="2" t="s">
        <v>16</v>
      </c>
      <c r="C3" s="1">
        <v>18289</v>
      </c>
      <c r="D3" s="1">
        <v>151298</v>
      </c>
      <c r="E3" s="5">
        <v>6310</v>
      </c>
    </row>
    <row r="4" spans="1:5" ht="17.25" x14ac:dyDescent="0.25">
      <c r="A4" s="1">
        <v>3</v>
      </c>
      <c r="B4" s="2" t="s">
        <v>11</v>
      </c>
      <c r="C4" s="1">
        <v>25908</v>
      </c>
      <c r="D4" s="1">
        <v>272275</v>
      </c>
      <c r="E4" s="1">
        <v>6094</v>
      </c>
    </row>
    <row r="5" spans="1:5" ht="17.25" x14ac:dyDescent="0.25">
      <c r="B5" s="5" t="s">
        <v>779</v>
      </c>
      <c r="C5" s="5">
        <f>SUM(C2:C4)</f>
        <v>53590</v>
      </c>
      <c r="D5" s="5">
        <f t="shared" ref="D5:E5" si="0">SUM(D2:D4)</f>
        <v>459408</v>
      </c>
      <c r="E5" s="5">
        <f t="shared" si="0"/>
        <v>14188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جزئیات فیلمهای خارجی</vt:lpstr>
      <vt:lpstr>آمار کلی</vt:lpstr>
      <vt:lpstr>مقایسه با کل آثار سایت</vt:lpstr>
      <vt:lpstr>تعداد آثار براساس قالب</vt:lpstr>
      <vt:lpstr>دقایق تماشا براساس قالب</vt:lpstr>
      <vt:lpstr>درخواست تماشا براساس قالب</vt:lpstr>
      <vt:lpstr>دانلود براساس قالب</vt:lpstr>
      <vt:lpstr>تماشا براساس زبان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2024-05-27T07:30:02Z</dcterms:modified>
</cp:coreProperties>
</file>