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30"/>
  </bookViews>
  <sheets>
    <sheet name="SAFCO" sheetId="1" r:id="rId1"/>
    <sheet name="Advanced" sheetId="2" r:id="rId2"/>
    <sheet name="ACC" sheetId="3" r:id="rId3"/>
    <sheet name="SCC" sheetId="4" r:id="rId4"/>
    <sheet name="City Cement" sheetId="5" r:id="rId5"/>
    <sheet name="Yanbu" sheetId="6" r:id="rId6"/>
    <sheet name="Qassim" sheetId="7" r:id="rId7"/>
    <sheet name="Hail Cement" sheetId="8" r:id="rId8"/>
    <sheet name="SPCC" sheetId="9" r:id="rId9"/>
    <sheet name="DAR" sheetId="10" r:id="rId10"/>
    <sheet name="MKH" sheetId="11" r:id="rId11"/>
    <sheet name="Jarir" sheetId="12" r:id="rId12"/>
    <sheet name="Othaim" sheetId="13" r:id="rId13"/>
    <sheet name="Aldrees" sheetId="14" r:id="rId14"/>
    <sheet name="Hokair" sheetId="15" r:id="rId15"/>
    <sheet name="Herfy" sheetId="16" r:id="rId16"/>
    <sheet name="ALJOUF" sheetId="17" r:id="rId17"/>
    <sheet name="SPIMACO" sheetId="18" r:id="rId18"/>
    <sheet name="SADAFCO" sheetId="19" r:id="rId19"/>
    <sheet name="SGS" sheetId="20" r:id="rId20"/>
    <sheet name="Budget" sheetId="21" r:id="rId21"/>
    <sheet name="Ceramics" sheetId="22" r:id="rId22"/>
    <sheet name="Zojaj" sheetId="23" r:id="rId23"/>
    <sheet name="GASCO" sheetId="24" r:id="rId24"/>
    <sheet name="ASLAK" sheetId="25" r:id="rId25"/>
    <sheet name="SISCO" sheetId="26" r:id="rId26"/>
    <sheet name="Catering" sheetId="27" r:id="rId27"/>
    <sheet name="altayar" sheetId="28" r:id="rId28"/>
    <sheet name="Saudi Chemical" sheetId="29" r:id="rId29"/>
    <sheet name="SEC" sheetId="30" r:id="rId30"/>
    <sheet name="!Inma" sheetId="31" r:id="rId31"/>
    <sheet name="!Jazirah" sheetId="32" r:id="rId32"/>
    <sheet name="!Rajhi" sheetId="33" r:id="rId33"/>
  </sheets>
  <calcPr calcId="145621" iterateDelta="1E-4"/>
</workbook>
</file>

<file path=xl/calcChain.xml><?xml version="1.0" encoding="utf-8"?>
<calcChain xmlns="http://schemas.openxmlformats.org/spreadsheetml/2006/main">
  <c r="E42" i="33" l="1"/>
  <c r="D42" i="33"/>
  <c r="C42" i="33"/>
  <c r="B42" i="33"/>
  <c r="E41" i="33"/>
  <c r="D41" i="33"/>
  <c r="C41" i="33"/>
  <c r="B41" i="33"/>
  <c r="K40" i="33"/>
  <c r="J40" i="33"/>
  <c r="I40" i="33"/>
  <c r="H40" i="33"/>
  <c r="E40" i="33"/>
  <c r="D40" i="33"/>
  <c r="C40" i="33"/>
  <c r="B40" i="33"/>
  <c r="K39" i="33"/>
  <c r="K42" i="33" s="1"/>
  <c r="J39" i="33"/>
  <c r="J42" i="33" s="1"/>
  <c r="I39" i="33"/>
  <c r="I42" i="33" s="1"/>
  <c r="H39" i="33"/>
  <c r="H42" i="33" s="1"/>
  <c r="E39" i="33"/>
  <c r="D39" i="33"/>
  <c r="C39" i="33"/>
  <c r="B39" i="33"/>
  <c r="K38" i="33"/>
  <c r="J38" i="33"/>
  <c r="I38" i="33"/>
  <c r="H38" i="33"/>
  <c r="E38" i="33"/>
  <c r="D38" i="33"/>
  <c r="C38" i="33"/>
  <c r="B38" i="33"/>
  <c r="K37" i="33"/>
  <c r="J37" i="33"/>
  <c r="I37" i="33"/>
  <c r="H37" i="33"/>
  <c r="E37" i="33"/>
  <c r="D37" i="33"/>
  <c r="C37" i="33"/>
  <c r="B37" i="33"/>
  <c r="E36" i="33"/>
  <c r="D36" i="33"/>
  <c r="C36" i="33"/>
  <c r="B36" i="33"/>
  <c r="K35" i="33"/>
  <c r="J35" i="33"/>
  <c r="I35" i="33"/>
  <c r="H35" i="33"/>
  <c r="E35" i="33"/>
  <c r="D35" i="33"/>
  <c r="C35" i="33"/>
  <c r="B35" i="33"/>
  <c r="Q34" i="33"/>
  <c r="P34" i="33"/>
  <c r="O34" i="33"/>
  <c r="N34" i="33"/>
  <c r="E42" i="32"/>
  <c r="D42" i="32"/>
  <c r="C42" i="32"/>
  <c r="B42" i="32"/>
  <c r="E41" i="32"/>
  <c r="D41" i="32"/>
  <c r="C41" i="32"/>
  <c r="B41" i="32"/>
  <c r="K40" i="32"/>
  <c r="J40" i="32"/>
  <c r="I40" i="32"/>
  <c r="H40" i="32"/>
  <c r="E40" i="32"/>
  <c r="D40" i="32"/>
  <c r="C40" i="32"/>
  <c r="B40" i="32"/>
  <c r="K39" i="32"/>
  <c r="K42" i="32" s="1"/>
  <c r="J39" i="32"/>
  <c r="J42" i="32" s="1"/>
  <c r="I39" i="32"/>
  <c r="I42" i="32" s="1"/>
  <c r="E39" i="32"/>
  <c r="D39" i="32"/>
  <c r="C39" i="32"/>
  <c r="B39" i="32"/>
  <c r="K38" i="32"/>
  <c r="J38" i="32"/>
  <c r="I38" i="32"/>
  <c r="H38" i="32"/>
  <c r="E38" i="32"/>
  <c r="D38" i="32"/>
  <c r="C38" i="32"/>
  <c r="B38" i="32"/>
  <c r="K37" i="32"/>
  <c r="J37" i="32"/>
  <c r="I37" i="32"/>
  <c r="E37" i="32"/>
  <c r="D37" i="32"/>
  <c r="C37" i="32"/>
  <c r="E36" i="32"/>
  <c r="D36" i="32"/>
  <c r="C36" i="32"/>
  <c r="B36" i="32"/>
  <c r="K35" i="32"/>
  <c r="J35" i="32"/>
  <c r="I35" i="32"/>
  <c r="H35" i="32"/>
  <c r="E35" i="32"/>
  <c r="D35" i="32"/>
  <c r="C35" i="32"/>
  <c r="B35" i="32"/>
  <c r="Q34" i="32"/>
  <c r="P34" i="32"/>
  <c r="O34" i="32"/>
  <c r="N34" i="32"/>
  <c r="H17" i="32"/>
  <c r="H25" i="32" s="1"/>
  <c r="E42" i="31"/>
  <c r="D42" i="31"/>
  <c r="C42" i="31"/>
  <c r="B42" i="31"/>
  <c r="E41" i="31"/>
  <c r="D41" i="31"/>
  <c r="C41" i="31"/>
  <c r="B41" i="31"/>
  <c r="K40" i="31"/>
  <c r="J40" i="31"/>
  <c r="I40" i="31"/>
  <c r="H40" i="31"/>
  <c r="E40" i="31"/>
  <c r="D40" i="31"/>
  <c r="C40" i="31"/>
  <c r="B40" i="31"/>
  <c r="K39" i="31"/>
  <c r="K42" i="31" s="1"/>
  <c r="J39" i="31"/>
  <c r="J42" i="31" s="1"/>
  <c r="I39" i="31"/>
  <c r="I42" i="31" s="1"/>
  <c r="H39" i="31"/>
  <c r="H42" i="31" s="1"/>
  <c r="E39" i="31"/>
  <c r="D39" i="31"/>
  <c r="C39" i="31"/>
  <c r="B39" i="31"/>
  <c r="K38" i="31"/>
  <c r="J38" i="31"/>
  <c r="I38" i="31"/>
  <c r="H38" i="31"/>
  <c r="E38" i="31"/>
  <c r="D38" i="31"/>
  <c r="C38" i="31"/>
  <c r="B38" i="31"/>
  <c r="K37" i="31"/>
  <c r="J37" i="31"/>
  <c r="I37" i="31"/>
  <c r="H37" i="31"/>
  <c r="E37" i="31"/>
  <c r="D37" i="31"/>
  <c r="C37" i="31"/>
  <c r="B37" i="31"/>
  <c r="E36" i="31"/>
  <c r="D36" i="31"/>
  <c r="C36" i="31"/>
  <c r="B36" i="31"/>
  <c r="K35" i="31"/>
  <c r="J35" i="31"/>
  <c r="I35" i="31"/>
  <c r="H35" i="31"/>
  <c r="E35" i="31"/>
  <c r="D35" i="31"/>
  <c r="C35" i="31"/>
  <c r="B35" i="31"/>
  <c r="Q34" i="31"/>
  <c r="P34" i="31"/>
  <c r="O34" i="31"/>
  <c r="N34" i="31"/>
  <c r="J31" i="31"/>
  <c r="I31" i="31"/>
  <c r="H31" i="31"/>
  <c r="K72" i="30"/>
  <c r="J71" i="30"/>
  <c r="I71" i="30"/>
  <c r="H71" i="30"/>
  <c r="J70" i="30"/>
  <c r="H68" i="30"/>
  <c r="J67" i="30"/>
  <c r="I67" i="30"/>
  <c r="H67" i="30"/>
  <c r="J66" i="30"/>
  <c r="I66" i="30"/>
  <c r="H66" i="30"/>
  <c r="I65" i="30"/>
  <c r="E58" i="30"/>
  <c r="D58" i="30"/>
  <c r="C58" i="30"/>
  <c r="I70" i="30" s="1"/>
  <c r="B58" i="30"/>
  <c r="E57" i="30"/>
  <c r="D57" i="30"/>
  <c r="C57" i="30"/>
  <c r="B57" i="30"/>
  <c r="K56" i="30"/>
  <c r="J56" i="30"/>
  <c r="I56" i="30"/>
  <c r="H56" i="30"/>
  <c r="E56" i="30"/>
  <c r="D56" i="30"/>
  <c r="C56" i="30"/>
  <c r="B56" i="30"/>
  <c r="K55" i="30"/>
  <c r="J55" i="30"/>
  <c r="I55" i="30"/>
  <c r="H55" i="30"/>
  <c r="E55" i="30"/>
  <c r="D55" i="30"/>
  <c r="C55" i="30"/>
  <c r="B55" i="30"/>
  <c r="K54" i="30"/>
  <c r="J54" i="30"/>
  <c r="I54" i="30"/>
  <c r="H54" i="30"/>
  <c r="E54" i="30"/>
  <c r="D54" i="30"/>
  <c r="C54" i="30"/>
  <c r="B54" i="30"/>
  <c r="K53" i="30"/>
  <c r="J53" i="30"/>
  <c r="J69" i="30" s="1"/>
  <c r="I53" i="30"/>
  <c r="I69" i="30" s="1"/>
  <c r="H53" i="30"/>
  <c r="E53" i="30"/>
  <c r="D53" i="30"/>
  <c r="C53" i="30"/>
  <c r="B53" i="30"/>
  <c r="P52" i="30"/>
  <c r="O52" i="30"/>
  <c r="N52" i="30"/>
  <c r="K52" i="30"/>
  <c r="J52" i="30"/>
  <c r="J68" i="30" s="1"/>
  <c r="I52" i="30"/>
  <c r="I68" i="30" s="1"/>
  <c r="H52" i="30"/>
  <c r="E52" i="30"/>
  <c r="D52" i="30"/>
  <c r="C52" i="30"/>
  <c r="B52" i="30"/>
  <c r="K51" i="30"/>
  <c r="J65" i="30" s="1"/>
  <c r="J51" i="30"/>
  <c r="I51" i="30"/>
  <c r="H51" i="30"/>
  <c r="H65" i="30" s="1"/>
  <c r="C51" i="30"/>
  <c r="J50" i="30"/>
  <c r="I50" i="30"/>
  <c r="H50" i="30"/>
  <c r="Q48" i="30"/>
  <c r="P48" i="30"/>
  <c r="N47" i="30"/>
  <c r="Q46" i="30"/>
  <c r="P46" i="30"/>
  <c r="K46" i="30"/>
  <c r="J46" i="30"/>
  <c r="I46" i="30"/>
  <c r="H46" i="30"/>
  <c r="Q45" i="30"/>
  <c r="P45" i="30"/>
  <c r="K45" i="30"/>
  <c r="J45" i="30"/>
  <c r="I45" i="30"/>
  <c r="H45" i="30"/>
  <c r="Q44" i="30"/>
  <c r="P44" i="30"/>
  <c r="K44" i="30"/>
  <c r="J44" i="30"/>
  <c r="I44" i="30"/>
  <c r="H44" i="30"/>
  <c r="Q43" i="30"/>
  <c r="P43" i="30"/>
  <c r="K43" i="30"/>
  <c r="J43" i="30"/>
  <c r="I43" i="30"/>
  <c r="H43" i="30"/>
  <c r="Q42" i="30"/>
  <c r="P42" i="30"/>
  <c r="O42" i="30"/>
  <c r="N42" i="30"/>
  <c r="K42" i="30"/>
  <c r="J42" i="30"/>
  <c r="I42" i="30"/>
  <c r="H42" i="30"/>
  <c r="Q41" i="30"/>
  <c r="P41" i="30"/>
  <c r="O41" i="30"/>
  <c r="N41" i="30"/>
  <c r="K41" i="30"/>
  <c r="J41" i="30"/>
  <c r="I41" i="30"/>
  <c r="H41" i="30"/>
  <c r="E41" i="30"/>
  <c r="D41" i="30"/>
  <c r="C41" i="30"/>
  <c r="B41" i="30"/>
  <c r="Q40" i="30"/>
  <c r="P40" i="30"/>
  <c r="O40" i="30"/>
  <c r="N40" i="30"/>
  <c r="K40" i="30"/>
  <c r="J40" i="30"/>
  <c r="I40" i="30"/>
  <c r="H40" i="30"/>
  <c r="E40" i="30"/>
  <c r="D40" i="30"/>
  <c r="C40" i="30"/>
  <c r="B40" i="30"/>
  <c r="Q39" i="30"/>
  <c r="P39" i="30"/>
  <c r="O39" i="30"/>
  <c r="N39" i="30"/>
  <c r="K39" i="30"/>
  <c r="J39" i="30"/>
  <c r="I39" i="30"/>
  <c r="H39" i="30"/>
  <c r="E39" i="30"/>
  <c r="D39" i="30"/>
  <c r="C39" i="30"/>
  <c r="B39" i="30"/>
  <c r="Q38" i="30"/>
  <c r="P38" i="30"/>
  <c r="O38" i="30"/>
  <c r="N38" i="30"/>
  <c r="K38" i="30"/>
  <c r="J38" i="30"/>
  <c r="I38" i="30"/>
  <c r="H38" i="30"/>
  <c r="E38" i="30"/>
  <c r="D38" i="30"/>
  <c r="C38" i="30"/>
  <c r="B38" i="30"/>
  <c r="Q37" i="30"/>
  <c r="P37" i="30"/>
  <c r="O37" i="30"/>
  <c r="N37" i="30"/>
  <c r="K37" i="30"/>
  <c r="J37" i="30"/>
  <c r="I37" i="30"/>
  <c r="H37" i="30"/>
  <c r="E37" i="30"/>
  <c r="D37" i="30"/>
  <c r="C37" i="30"/>
  <c r="B37" i="30"/>
  <c r="Q36" i="30"/>
  <c r="P36" i="30"/>
  <c r="O36" i="30"/>
  <c r="N36" i="30"/>
  <c r="K36" i="30"/>
  <c r="J36" i="30"/>
  <c r="I36" i="30"/>
  <c r="H36" i="30"/>
  <c r="E36" i="30"/>
  <c r="D36" i="30"/>
  <c r="C36" i="30"/>
  <c r="B36" i="30"/>
  <c r="Q35" i="30"/>
  <c r="P35" i="30"/>
  <c r="O35" i="30"/>
  <c r="N35" i="30"/>
  <c r="K35" i="30"/>
  <c r="J35" i="30"/>
  <c r="I35" i="30"/>
  <c r="H35" i="30"/>
  <c r="E35" i="30"/>
  <c r="D35" i="30"/>
  <c r="C35" i="30"/>
  <c r="B35" i="30"/>
  <c r="Q34" i="30"/>
  <c r="P34" i="30"/>
  <c r="O34" i="30"/>
  <c r="N34" i="30"/>
  <c r="K34" i="30"/>
  <c r="J34" i="30"/>
  <c r="I34" i="30"/>
  <c r="H34" i="30"/>
  <c r="E34" i="30"/>
  <c r="D34" i="30"/>
  <c r="C34" i="30"/>
  <c r="B34" i="30"/>
  <c r="Q33" i="30"/>
  <c r="P33" i="30"/>
  <c r="O33" i="30"/>
  <c r="N33" i="30"/>
  <c r="K33" i="30"/>
  <c r="J33" i="30"/>
  <c r="I33" i="30"/>
  <c r="H33" i="30"/>
  <c r="E33" i="30"/>
  <c r="D33" i="30"/>
  <c r="C33" i="30"/>
  <c r="B33" i="30"/>
  <c r="Q32" i="30"/>
  <c r="P32" i="30"/>
  <c r="O32" i="30"/>
  <c r="N32" i="30"/>
  <c r="K32" i="30"/>
  <c r="J32" i="30"/>
  <c r="I32" i="30"/>
  <c r="H32" i="30"/>
  <c r="E32" i="30"/>
  <c r="D32" i="30"/>
  <c r="C32" i="30"/>
  <c r="B32" i="30"/>
  <c r="Q31" i="30"/>
  <c r="P31" i="30"/>
  <c r="O31" i="30"/>
  <c r="N31" i="30"/>
  <c r="K31" i="30"/>
  <c r="J31" i="30"/>
  <c r="I31" i="30"/>
  <c r="H31" i="30"/>
  <c r="E31" i="30"/>
  <c r="D31" i="30"/>
  <c r="C31" i="30"/>
  <c r="B31" i="30"/>
  <c r="Q30" i="30"/>
  <c r="P30" i="30"/>
  <c r="O30" i="30"/>
  <c r="N30" i="30"/>
  <c r="K30" i="30"/>
  <c r="J30" i="30"/>
  <c r="I30" i="30"/>
  <c r="H30" i="30"/>
  <c r="E30" i="30"/>
  <c r="D30" i="30"/>
  <c r="C30" i="30"/>
  <c r="B30" i="30"/>
  <c r="P28" i="30"/>
  <c r="O28" i="30"/>
  <c r="N28" i="30"/>
  <c r="P27" i="30"/>
  <c r="O27" i="30"/>
  <c r="F27" i="30"/>
  <c r="B27" i="30"/>
  <c r="Q26" i="30"/>
  <c r="P26" i="30"/>
  <c r="O26" i="30"/>
  <c r="N26" i="30"/>
  <c r="C26" i="30"/>
  <c r="Q25" i="30"/>
  <c r="P25" i="30"/>
  <c r="O25" i="30"/>
  <c r="O51" i="30" s="1"/>
  <c r="N25" i="30"/>
  <c r="Q24" i="30"/>
  <c r="Q51" i="30" s="1"/>
  <c r="P24" i="30"/>
  <c r="J72" i="30" s="1"/>
  <c r="O24" i="30"/>
  <c r="I72" i="30" s="1"/>
  <c r="N24" i="30"/>
  <c r="N49" i="30" s="1"/>
  <c r="E24" i="30"/>
  <c r="D24" i="30"/>
  <c r="C24" i="30"/>
  <c r="B24" i="30"/>
  <c r="E23" i="30"/>
  <c r="E51" i="30" s="1"/>
  <c r="D23" i="30"/>
  <c r="D51" i="30" s="1"/>
  <c r="C23" i="30"/>
  <c r="B23" i="30"/>
  <c r="J71" i="29"/>
  <c r="I71" i="29"/>
  <c r="H71" i="29"/>
  <c r="J68" i="29"/>
  <c r="I68" i="29"/>
  <c r="H68" i="29"/>
  <c r="J67" i="29"/>
  <c r="I67" i="29"/>
  <c r="H67" i="29"/>
  <c r="J66" i="29"/>
  <c r="I66" i="29"/>
  <c r="H66" i="29"/>
  <c r="I65" i="29"/>
  <c r="E58" i="29"/>
  <c r="D58" i="29"/>
  <c r="J70" i="29" s="1"/>
  <c r="C58" i="29"/>
  <c r="B58" i="29"/>
  <c r="H70" i="29" s="1"/>
  <c r="E57" i="29"/>
  <c r="D57" i="29"/>
  <c r="C57" i="29"/>
  <c r="B57" i="29"/>
  <c r="K56" i="29"/>
  <c r="J56" i="29"/>
  <c r="I56" i="29"/>
  <c r="H56" i="29"/>
  <c r="E56" i="29"/>
  <c r="D56" i="29"/>
  <c r="C56" i="29"/>
  <c r="B56" i="29"/>
  <c r="K55" i="29"/>
  <c r="J55" i="29"/>
  <c r="I55" i="29"/>
  <c r="H55" i="29"/>
  <c r="E55" i="29"/>
  <c r="D55" i="29"/>
  <c r="C55" i="29"/>
  <c r="B55" i="29"/>
  <c r="K54" i="29"/>
  <c r="J54" i="29"/>
  <c r="I54" i="29"/>
  <c r="H54" i="29"/>
  <c r="E54" i="29"/>
  <c r="D54" i="29"/>
  <c r="C54" i="29"/>
  <c r="B54" i="29"/>
  <c r="K53" i="29"/>
  <c r="J53" i="29"/>
  <c r="I53" i="29"/>
  <c r="H53" i="29"/>
  <c r="E53" i="29"/>
  <c r="D53" i="29"/>
  <c r="C53" i="29"/>
  <c r="B53" i="29"/>
  <c r="Q52" i="29"/>
  <c r="P52" i="29"/>
  <c r="K52" i="29"/>
  <c r="J52" i="29"/>
  <c r="I52" i="29"/>
  <c r="H52" i="29"/>
  <c r="E52" i="29"/>
  <c r="D52" i="29"/>
  <c r="C52" i="29"/>
  <c r="B52" i="29"/>
  <c r="K51" i="29"/>
  <c r="J65" i="29" s="1"/>
  <c r="J51" i="29"/>
  <c r="I51" i="29"/>
  <c r="H65" i="29" s="1"/>
  <c r="H51" i="29"/>
  <c r="B51" i="29"/>
  <c r="J50" i="29"/>
  <c r="I50" i="29"/>
  <c r="H50" i="29"/>
  <c r="P47" i="29"/>
  <c r="O47" i="29"/>
  <c r="N47" i="29"/>
  <c r="K46" i="29"/>
  <c r="J46" i="29"/>
  <c r="I46" i="29"/>
  <c r="H46" i="29"/>
  <c r="K45" i="29"/>
  <c r="J45" i="29"/>
  <c r="I45" i="29"/>
  <c r="H45" i="29"/>
  <c r="K44" i="29"/>
  <c r="J44" i="29"/>
  <c r="I44" i="29"/>
  <c r="H44" i="29"/>
  <c r="K43" i="29"/>
  <c r="J43" i="29"/>
  <c r="I43" i="29"/>
  <c r="H43" i="29"/>
  <c r="Q42" i="29"/>
  <c r="P42" i="29"/>
  <c r="O42" i="29"/>
  <c r="N42" i="29"/>
  <c r="K42" i="29"/>
  <c r="J42" i="29"/>
  <c r="I42" i="29"/>
  <c r="H42" i="29"/>
  <c r="Q41" i="29"/>
  <c r="P41" i="29"/>
  <c r="O41" i="29"/>
  <c r="N41" i="29"/>
  <c r="K41" i="29"/>
  <c r="J41" i="29"/>
  <c r="I41" i="29"/>
  <c r="H41" i="29"/>
  <c r="E41" i="29"/>
  <c r="D41" i="29"/>
  <c r="C41" i="29"/>
  <c r="B41" i="29"/>
  <c r="Q40" i="29"/>
  <c r="P40" i="29"/>
  <c r="O40" i="29"/>
  <c r="N40" i="29"/>
  <c r="K40" i="29"/>
  <c r="J40" i="29"/>
  <c r="I40" i="29"/>
  <c r="H40" i="29"/>
  <c r="E40" i="29"/>
  <c r="D40" i="29"/>
  <c r="C40" i="29"/>
  <c r="B40" i="29"/>
  <c r="Q39" i="29"/>
  <c r="P39" i="29"/>
  <c r="O39" i="29"/>
  <c r="N39" i="29"/>
  <c r="K39" i="29"/>
  <c r="J39" i="29"/>
  <c r="I39" i="29"/>
  <c r="H39" i="29"/>
  <c r="E39" i="29"/>
  <c r="D39" i="29"/>
  <c r="C39" i="29"/>
  <c r="B39" i="29"/>
  <c r="Q38" i="29"/>
  <c r="P38" i="29"/>
  <c r="O38" i="29"/>
  <c r="N38" i="29"/>
  <c r="K38" i="29"/>
  <c r="J38" i="29"/>
  <c r="I38" i="29"/>
  <c r="H38" i="29"/>
  <c r="E38" i="29"/>
  <c r="D38" i="29"/>
  <c r="C38" i="29"/>
  <c r="B38" i="29"/>
  <c r="Q37" i="29"/>
  <c r="P37" i="29"/>
  <c r="O37" i="29"/>
  <c r="N37" i="29"/>
  <c r="K37" i="29"/>
  <c r="J37" i="29"/>
  <c r="I37" i="29"/>
  <c r="H37" i="29"/>
  <c r="E37" i="29"/>
  <c r="D37" i="29"/>
  <c r="C37" i="29"/>
  <c r="B37" i="29"/>
  <c r="Q36" i="29"/>
  <c r="P36" i="29"/>
  <c r="O36" i="29"/>
  <c r="N36" i="29"/>
  <c r="K36" i="29"/>
  <c r="J36" i="29"/>
  <c r="I36" i="29"/>
  <c r="H36" i="29"/>
  <c r="E36" i="29"/>
  <c r="D36" i="29"/>
  <c r="C36" i="29"/>
  <c r="B36" i="29"/>
  <c r="Q35" i="29"/>
  <c r="P35" i="29"/>
  <c r="O35" i="29"/>
  <c r="N35" i="29"/>
  <c r="K35" i="29"/>
  <c r="J35" i="29"/>
  <c r="I35" i="29"/>
  <c r="H35" i="29"/>
  <c r="E35" i="29"/>
  <c r="D35" i="29"/>
  <c r="C35" i="29"/>
  <c r="B35" i="29"/>
  <c r="Q34" i="29"/>
  <c r="P34" i="29"/>
  <c r="O34" i="29"/>
  <c r="N34" i="29"/>
  <c r="K34" i="29"/>
  <c r="J34" i="29"/>
  <c r="I34" i="29"/>
  <c r="H34" i="29"/>
  <c r="E34" i="29"/>
  <c r="D34" i="29"/>
  <c r="C34" i="29"/>
  <c r="B34" i="29"/>
  <c r="Q33" i="29"/>
  <c r="P33" i="29"/>
  <c r="O33" i="29"/>
  <c r="N33" i="29"/>
  <c r="K33" i="29"/>
  <c r="J33" i="29"/>
  <c r="I33" i="29"/>
  <c r="H33" i="29"/>
  <c r="E33" i="29"/>
  <c r="D33" i="29"/>
  <c r="C33" i="29"/>
  <c r="B33" i="29"/>
  <c r="Q32" i="29"/>
  <c r="P32" i="29"/>
  <c r="O32" i="29"/>
  <c r="N32" i="29"/>
  <c r="K32" i="29"/>
  <c r="J32" i="29"/>
  <c r="I32" i="29"/>
  <c r="H32" i="29"/>
  <c r="E32" i="29"/>
  <c r="D32" i="29"/>
  <c r="C32" i="29"/>
  <c r="B32" i="29"/>
  <c r="Q31" i="29"/>
  <c r="P31" i="29"/>
  <c r="O31" i="29"/>
  <c r="N31" i="29"/>
  <c r="K31" i="29"/>
  <c r="J31" i="29"/>
  <c r="I31" i="29"/>
  <c r="H31" i="29"/>
  <c r="E31" i="29"/>
  <c r="D31" i="29"/>
  <c r="C31" i="29"/>
  <c r="B31" i="29"/>
  <c r="Q30" i="29"/>
  <c r="P30" i="29"/>
  <c r="O30" i="29"/>
  <c r="N30" i="29"/>
  <c r="K30" i="29"/>
  <c r="J30" i="29"/>
  <c r="I30" i="29"/>
  <c r="H30" i="29"/>
  <c r="E30" i="29"/>
  <c r="D30" i="29"/>
  <c r="C30" i="29"/>
  <c r="B30" i="29"/>
  <c r="P28" i="29"/>
  <c r="O28" i="29"/>
  <c r="N28" i="29"/>
  <c r="F27" i="29"/>
  <c r="B27" i="29"/>
  <c r="Q26" i="29"/>
  <c r="P26" i="29"/>
  <c r="O26" i="29"/>
  <c r="N26" i="29"/>
  <c r="Q25" i="29"/>
  <c r="P25" i="29"/>
  <c r="O25" i="29"/>
  <c r="N25" i="29"/>
  <c r="Q24" i="29"/>
  <c r="K72" i="29" s="1"/>
  <c r="P24" i="29"/>
  <c r="O24" i="29"/>
  <c r="N24" i="29"/>
  <c r="E24" i="29"/>
  <c r="D24" i="29"/>
  <c r="C24" i="29"/>
  <c r="B24" i="29"/>
  <c r="E23" i="29"/>
  <c r="E51" i="29" s="1"/>
  <c r="D23" i="29"/>
  <c r="D51" i="29" s="1"/>
  <c r="C23" i="29"/>
  <c r="C51" i="29" s="1"/>
  <c r="B23" i="29"/>
  <c r="B26" i="29" s="1"/>
  <c r="H72" i="28"/>
  <c r="J71" i="28"/>
  <c r="I71" i="28"/>
  <c r="H71" i="28"/>
  <c r="I69" i="28"/>
  <c r="H69" i="28"/>
  <c r="J67" i="28"/>
  <c r="I67" i="28"/>
  <c r="H67" i="28"/>
  <c r="J66" i="28"/>
  <c r="I66" i="28"/>
  <c r="H66" i="28"/>
  <c r="J65" i="28"/>
  <c r="E58" i="28"/>
  <c r="D58" i="28"/>
  <c r="J70" i="28" s="1"/>
  <c r="C58" i="28"/>
  <c r="I70" i="28" s="1"/>
  <c r="B58" i="28"/>
  <c r="H70" i="28" s="1"/>
  <c r="E57" i="28"/>
  <c r="D57" i="28"/>
  <c r="C57" i="28"/>
  <c r="B57" i="28"/>
  <c r="K56" i="28"/>
  <c r="J56" i="28"/>
  <c r="I56" i="28"/>
  <c r="H56" i="28"/>
  <c r="E56" i="28"/>
  <c r="D56" i="28"/>
  <c r="C56" i="28"/>
  <c r="B56" i="28"/>
  <c r="K55" i="28"/>
  <c r="J55" i="28"/>
  <c r="I55" i="28"/>
  <c r="H55" i="28"/>
  <c r="E55" i="28"/>
  <c r="D55" i="28"/>
  <c r="C55" i="28"/>
  <c r="B55" i="28"/>
  <c r="K54" i="28"/>
  <c r="J54" i="28"/>
  <c r="I54" i="28"/>
  <c r="H54" i="28"/>
  <c r="E54" i="28"/>
  <c r="D54" i="28"/>
  <c r="C54" i="28"/>
  <c r="B54" i="28"/>
  <c r="K53" i="28"/>
  <c r="J53" i="28"/>
  <c r="J69" i="28" s="1"/>
  <c r="I53" i="28"/>
  <c r="H53" i="28"/>
  <c r="E53" i="28"/>
  <c r="D53" i="28"/>
  <c r="C53" i="28"/>
  <c r="B53" i="28"/>
  <c r="N52" i="28"/>
  <c r="K52" i="28"/>
  <c r="J52" i="28"/>
  <c r="J68" i="28" s="1"/>
  <c r="I52" i="28"/>
  <c r="H52" i="28"/>
  <c r="E52" i="28"/>
  <c r="D52" i="28"/>
  <c r="C52" i="28"/>
  <c r="B52" i="28"/>
  <c r="O51" i="28"/>
  <c r="N51" i="28"/>
  <c r="K51" i="28"/>
  <c r="J51" i="28"/>
  <c r="I65" i="28" s="1"/>
  <c r="I51" i="28"/>
  <c r="H65" i="28" s="1"/>
  <c r="H51" i="28"/>
  <c r="C51" i="28"/>
  <c r="B51" i="28"/>
  <c r="J50" i="28"/>
  <c r="I50" i="28"/>
  <c r="H50" i="28"/>
  <c r="O49" i="28"/>
  <c r="N48" i="28"/>
  <c r="Q47" i="28"/>
  <c r="P47" i="28"/>
  <c r="O47" i="28"/>
  <c r="N46" i="28"/>
  <c r="K46" i="28"/>
  <c r="J46" i="28"/>
  <c r="I46" i="28"/>
  <c r="H46" i="28"/>
  <c r="N45" i="28"/>
  <c r="K45" i="28"/>
  <c r="J45" i="28"/>
  <c r="I45" i="28"/>
  <c r="H45" i="28"/>
  <c r="N44" i="28"/>
  <c r="K44" i="28"/>
  <c r="J44" i="28"/>
  <c r="I44" i="28"/>
  <c r="H44" i="28"/>
  <c r="N43" i="28"/>
  <c r="K43" i="28"/>
  <c r="J43" i="28"/>
  <c r="I43" i="28"/>
  <c r="H43" i="28"/>
  <c r="Q42" i="28"/>
  <c r="P42" i="28"/>
  <c r="O42" i="28"/>
  <c r="N42" i="28"/>
  <c r="K42" i="28"/>
  <c r="J42" i="28"/>
  <c r="I42" i="28"/>
  <c r="H42" i="28"/>
  <c r="Q41" i="28"/>
  <c r="P41" i="28"/>
  <c r="O41" i="28"/>
  <c r="N41" i="28"/>
  <c r="K41" i="28"/>
  <c r="J41" i="28"/>
  <c r="I41" i="28"/>
  <c r="H41" i="28"/>
  <c r="E41" i="28"/>
  <c r="D41" i="28"/>
  <c r="C41" i="28"/>
  <c r="B41" i="28"/>
  <c r="Q40" i="28"/>
  <c r="P40" i="28"/>
  <c r="O40" i="28"/>
  <c r="N40" i="28"/>
  <c r="K40" i="28"/>
  <c r="J40" i="28"/>
  <c r="I40" i="28"/>
  <c r="H40" i="28"/>
  <c r="E40" i="28"/>
  <c r="D40" i="28"/>
  <c r="C40" i="28"/>
  <c r="B40" i="28"/>
  <c r="Q39" i="28"/>
  <c r="P39" i="28"/>
  <c r="O39" i="28"/>
  <c r="N39" i="28"/>
  <c r="K39" i="28"/>
  <c r="J39" i="28"/>
  <c r="I39" i="28"/>
  <c r="H39" i="28"/>
  <c r="E39" i="28"/>
  <c r="D39" i="28"/>
  <c r="C39" i="28"/>
  <c r="B39" i="28"/>
  <c r="Q38" i="28"/>
  <c r="P38" i="28"/>
  <c r="O38" i="28"/>
  <c r="N38" i="28"/>
  <c r="K38" i="28"/>
  <c r="J38" i="28"/>
  <c r="I38" i="28"/>
  <c r="H38" i="28"/>
  <c r="E38" i="28"/>
  <c r="D38" i="28"/>
  <c r="C38" i="28"/>
  <c r="B38" i="28"/>
  <c r="Q37" i="28"/>
  <c r="P37" i="28"/>
  <c r="O37" i="28"/>
  <c r="N37" i="28"/>
  <c r="K37" i="28"/>
  <c r="J37" i="28"/>
  <c r="I37" i="28"/>
  <c r="H37" i="28"/>
  <c r="E37" i="28"/>
  <c r="D37" i="28"/>
  <c r="C37" i="28"/>
  <c r="B37" i="28"/>
  <c r="Q36" i="28"/>
  <c r="P36" i="28"/>
  <c r="O36" i="28"/>
  <c r="N36" i="28"/>
  <c r="K36" i="28"/>
  <c r="J36" i="28"/>
  <c r="I36" i="28"/>
  <c r="H36" i="28"/>
  <c r="E36" i="28"/>
  <c r="D36" i="28"/>
  <c r="C36" i="28"/>
  <c r="B36" i="28"/>
  <c r="Q35" i="28"/>
  <c r="P35" i="28"/>
  <c r="O35" i="28"/>
  <c r="N35" i="28"/>
  <c r="K35" i="28"/>
  <c r="J35" i="28"/>
  <c r="I35" i="28"/>
  <c r="H35" i="28"/>
  <c r="E35" i="28"/>
  <c r="D35" i="28"/>
  <c r="C35" i="28"/>
  <c r="B35" i="28"/>
  <c r="Q34" i="28"/>
  <c r="P34" i="28"/>
  <c r="O34" i="28"/>
  <c r="N34" i="28"/>
  <c r="K34" i="28"/>
  <c r="J34" i="28"/>
  <c r="I34" i="28"/>
  <c r="H34" i="28"/>
  <c r="E34" i="28"/>
  <c r="D34" i="28"/>
  <c r="C34" i="28"/>
  <c r="B34" i="28"/>
  <c r="Q33" i="28"/>
  <c r="P33" i="28"/>
  <c r="O33" i="28"/>
  <c r="N33" i="28"/>
  <c r="K33" i="28"/>
  <c r="J33" i="28"/>
  <c r="I33" i="28"/>
  <c r="H33" i="28"/>
  <c r="E33" i="28"/>
  <c r="D33" i="28"/>
  <c r="C33" i="28"/>
  <c r="B33" i="28"/>
  <c r="Q32" i="28"/>
  <c r="P32" i="28"/>
  <c r="O32" i="28"/>
  <c r="N32" i="28"/>
  <c r="K32" i="28"/>
  <c r="J32" i="28"/>
  <c r="I32" i="28"/>
  <c r="H32" i="28"/>
  <c r="E32" i="28"/>
  <c r="D32" i="28"/>
  <c r="C32" i="28"/>
  <c r="B32" i="28"/>
  <c r="Q31" i="28"/>
  <c r="P31" i="28"/>
  <c r="O31" i="28"/>
  <c r="N31" i="28"/>
  <c r="K31" i="28"/>
  <c r="J31" i="28"/>
  <c r="I31" i="28"/>
  <c r="H31" i="28"/>
  <c r="E31" i="28"/>
  <c r="D31" i="28"/>
  <c r="C31" i="28"/>
  <c r="B31" i="28"/>
  <c r="Q30" i="28"/>
  <c r="P30" i="28"/>
  <c r="O30" i="28"/>
  <c r="N30" i="28"/>
  <c r="K30" i="28"/>
  <c r="J30" i="28"/>
  <c r="I30" i="28"/>
  <c r="H30" i="28"/>
  <c r="E30" i="28"/>
  <c r="D30" i="28"/>
  <c r="C30" i="28"/>
  <c r="B30" i="28"/>
  <c r="P28" i="28"/>
  <c r="O28" i="28"/>
  <c r="N28" i="28"/>
  <c r="Q27" i="28"/>
  <c r="O27" i="28"/>
  <c r="N27" i="28"/>
  <c r="F27" i="28"/>
  <c r="B27" i="28"/>
  <c r="Q26" i="28"/>
  <c r="P26" i="28"/>
  <c r="O26" i="28"/>
  <c r="R23" i="28" s="1"/>
  <c r="N26" i="28"/>
  <c r="C26" i="28"/>
  <c r="B26" i="28"/>
  <c r="Q25" i="28"/>
  <c r="P25" i="28"/>
  <c r="O25" i="28"/>
  <c r="N25" i="28"/>
  <c r="Q24" i="28"/>
  <c r="P24" i="28"/>
  <c r="P49" i="28" s="1"/>
  <c r="O24" i="28"/>
  <c r="N24" i="28"/>
  <c r="N49" i="28" s="1"/>
  <c r="E24" i="28"/>
  <c r="D24" i="28"/>
  <c r="C24" i="28"/>
  <c r="B24" i="28"/>
  <c r="E23" i="28"/>
  <c r="E51" i="28" s="1"/>
  <c r="D23" i="28"/>
  <c r="D51" i="28" s="1"/>
  <c r="C23" i="28"/>
  <c r="B23" i="28"/>
  <c r="R22" i="28"/>
  <c r="K72" i="27"/>
  <c r="J72" i="27"/>
  <c r="I72" i="27"/>
  <c r="J71" i="27"/>
  <c r="I71" i="27"/>
  <c r="H71" i="27"/>
  <c r="J70" i="27"/>
  <c r="J69" i="27"/>
  <c r="I68" i="27"/>
  <c r="H68" i="27"/>
  <c r="J67" i="27"/>
  <c r="I67" i="27"/>
  <c r="H67" i="27"/>
  <c r="J66" i="27"/>
  <c r="I66" i="27"/>
  <c r="H66" i="27"/>
  <c r="I65" i="27"/>
  <c r="H65" i="27"/>
  <c r="E58" i="27"/>
  <c r="D58" i="27"/>
  <c r="C58" i="27"/>
  <c r="I70" i="27" s="1"/>
  <c r="B58" i="27"/>
  <c r="H70" i="27" s="1"/>
  <c r="E57" i="27"/>
  <c r="D57" i="27"/>
  <c r="C57" i="27"/>
  <c r="B57" i="27"/>
  <c r="K56" i="27"/>
  <c r="J56" i="27"/>
  <c r="I56" i="27"/>
  <c r="H56" i="27"/>
  <c r="E56" i="27"/>
  <c r="D56" i="27"/>
  <c r="C56" i="27"/>
  <c r="B56" i="27"/>
  <c r="K55" i="27"/>
  <c r="J55" i="27"/>
  <c r="I55" i="27"/>
  <c r="H55" i="27"/>
  <c r="E55" i="27"/>
  <c r="D55" i="27"/>
  <c r="C55" i="27"/>
  <c r="B55" i="27"/>
  <c r="K54" i="27"/>
  <c r="J54" i="27"/>
  <c r="I54" i="27"/>
  <c r="H54" i="27"/>
  <c r="E54" i="27"/>
  <c r="D54" i="27"/>
  <c r="C54" i="27"/>
  <c r="B54" i="27"/>
  <c r="K53" i="27"/>
  <c r="J53" i="27"/>
  <c r="I53" i="27"/>
  <c r="I69" i="27" s="1"/>
  <c r="H53" i="27"/>
  <c r="E53" i="27"/>
  <c r="D53" i="27"/>
  <c r="C53" i="27"/>
  <c r="B53" i="27"/>
  <c r="Q52" i="27"/>
  <c r="P52" i="27"/>
  <c r="P53" i="27" s="1"/>
  <c r="O52" i="27"/>
  <c r="N52" i="27"/>
  <c r="K52" i="27"/>
  <c r="J68" i="27" s="1"/>
  <c r="J52" i="27"/>
  <c r="I52" i="27"/>
  <c r="H52" i="27"/>
  <c r="E52" i="27"/>
  <c r="D52" i="27"/>
  <c r="C52" i="27"/>
  <c r="B52" i="27"/>
  <c r="K51" i="27"/>
  <c r="J51" i="27"/>
  <c r="I51" i="27"/>
  <c r="H51" i="27"/>
  <c r="E51" i="27"/>
  <c r="J50" i="27"/>
  <c r="I50" i="27"/>
  <c r="H50" i="27"/>
  <c r="Q48" i="27"/>
  <c r="P48" i="27"/>
  <c r="O48" i="27"/>
  <c r="N47" i="27"/>
  <c r="Q46" i="27"/>
  <c r="P46" i="27"/>
  <c r="O46" i="27"/>
  <c r="K46" i="27"/>
  <c r="J46" i="27"/>
  <c r="I46" i="27"/>
  <c r="H46" i="27"/>
  <c r="Q45" i="27"/>
  <c r="P45" i="27"/>
  <c r="O45" i="27"/>
  <c r="K45" i="27"/>
  <c r="J45" i="27"/>
  <c r="I45" i="27"/>
  <c r="H45" i="27"/>
  <c r="Q44" i="27"/>
  <c r="P44" i="27"/>
  <c r="O44" i="27"/>
  <c r="K44" i="27"/>
  <c r="J44" i="27"/>
  <c r="I44" i="27"/>
  <c r="H44" i="27"/>
  <c r="Q43" i="27"/>
  <c r="P43" i="27"/>
  <c r="O43" i="27"/>
  <c r="K43" i="27"/>
  <c r="J43" i="27"/>
  <c r="I43" i="27"/>
  <c r="H43" i="27"/>
  <c r="Q42" i="27"/>
  <c r="P42" i="27"/>
  <c r="O42" i="27"/>
  <c r="N42" i="27"/>
  <c r="K42" i="27"/>
  <c r="J42" i="27"/>
  <c r="I42" i="27"/>
  <c r="H42" i="27"/>
  <c r="Q41" i="27"/>
  <c r="P41" i="27"/>
  <c r="O41" i="27"/>
  <c r="N41" i="27"/>
  <c r="K41" i="27"/>
  <c r="J41" i="27"/>
  <c r="I41" i="27"/>
  <c r="H41" i="27"/>
  <c r="E41" i="27"/>
  <c r="D41" i="27"/>
  <c r="C41" i="27"/>
  <c r="B41" i="27"/>
  <c r="Q40" i="27"/>
  <c r="P40" i="27"/>
  <c r="O40" i="27"/>
  <c r="N40" i="27"/>
  <c r="K40" i="27"/>
  <c r="J40" i="27"/>
  <c r="I40" i="27"/>
  <c r="H40" i="27"/>
  <c r="E40" i="27"/>
  <c r="D40" i="27"/>
  <c r="C40" i="27"/>
  <c r="B40" i="27"/>
  <c r="Q39" i="27"/>
  <c r="P39" i="27"/>
  <c r="O39" i="27"/>
  <c r="N39" i="27"/>
  <c r="K39" i="27"/>
  <c r="J39" i="27"/>
  <c r="I39" i="27"/>
  <c r="H39" i="27"/>
  <c r="E39" i="27"/>
  <c r="D39" i="27"/>
  <c r="C39" i="27"/>
  <c r="B39" i="27"/>
  <c r="Q38" i="27"/>
  <c r="P38" i="27"/>
  <c r="O38" i="27"/>
  <c r="N38" i="27"/>
  <c r="K38" i="27"/>
  <c r="J38" i="27"/>
  <c r="I38" i="27"/>
  <c r="H38" i="27"/>
  <c r="E38" i="27"/>
  <c r="D38" i="27"/>
  <c r="C38" i="27"/>
  <c r="B38" i="27"/>
  <c r="Q37" i="27"/>
  <c r="P37" i="27"/>
  <c r="O37" i="27"/>
  <c r="N37" i="27"/>
  <c r="K37" i="27"/>
  <c r="J37" i="27"/>
  <c r="I37" i="27"/>
  <c r="H37" i="27"/>
  <c r="E37" i="27"/>
  <c r="D37" i="27"/>
  <c r="C37" i="27"/>
  <c r="B37" i="27"/>
  <c r="Q36" i="27"/>
  <c r="P36" i="27"/>
  <c r="O36" i="27"/>
  <c r="N36" i="27"/>
  <c r="K36" i="27"/>
  <c r="J36" i="27"/>
  <c r="I36" i="27"/>
  <c r="H36" i="27"/>
  <c r="E36" i="27"/>
  <c r="D36" i="27"/>
  <c r="C36" i="27"/>
  <c r="B36" i="27"/>
  <c r="Q35" i="27"/>
  <c r="P35" i="27"/>
  <c r="O35" i="27"/>
  <c r="N35" i="27"/>
  <c r="K35" i="27"/>
  <c r="J35" i="27"/>
  <c r="I35" i="27"/>
  <c r="H35" i="27"/>
  <c r="E35" i="27"/>
  <c r="D35" i="27"/>
  <c r="C35" i="27"/>
  <c r="B35" i="27"/>
  <c r="Q34" i="27"/>
  <c r="P34" i="27"/>
  <c r="O34" i="27"/>
  <c r="N34" i="27"/>
  <c r="K34" i="27"/>
  <c r="J34" i="27"/>
  <c r="I34" i="27"/>
  <c r="H34" i="27"/>
  <c r="E34" i="27"/>
  <c r="D34" i="27"/>
  <c r="C34" i="27"/>
  <c r="B34" i="27"/>
  <c r="Q33" i="27"/>
  <c r="P33" i="27"/>
  <c r="O33" i="27"/>
  <c r="N33" i="27"/>
  <c r="K33" i="27"/>
  <c r="J33" i="27"/>
  <c r="I33" i="27"/>
  <c r="H33" i="27"/>
  <c r="E33" i="27"/>
  <c r="D33" i="27"/>
  <c r="C33" i="27"/>
  <c r="B33" i="27"/>
  <c r="Q32" i="27"/>
  <c r="P32" i="27"/>
  <c r="O32" i="27"/>
  <c r="N32" i="27"/>
  <c r="K32" i="27"/>
  <c r="J32" i="27"/>
  <c r="I32" i="27"/>
  <c r="H32" i="27"/>
  <c r="E32" i="27"/>
  <c r="D32" i="27"/>
  <c r="C32" i="27"/>
  <c r="B32" i="27"/>
  <c r="Q31" i="27"/>
  <c r="P31" i="27"/>
  <c r="O31" i="27"/>
  <c r="N31" i="27"/>
  <c r="K31" i="27"/>
  <c r="J31" i="27"/>
  <c r="I31" i="27"/>
  <c r="H31" i="27"/>
  <c r="E31" i="27"/>
  <c r="D31" i="27"/>
  <c r="C31" i="27"/>
  <c r="B31" i="27"/>
  <c r="Q30" i="27"/>
  <c r="P30" i="27"/>
  <c r="O30" i="27"/>
  <c r="N30" i="27"/>
  <c r="K30" i="27"/>
  <c r="J30" i="27"/>
  <c r="I30" i="27"/>
  <c r="H30" i="27"/>
  <c r="E30" i="27"/>
  <c r="D30" i="27"/>
  <c r="C30" i="27"/>
  <c r="B30" i="27"/>
  <c r="P28" i="27"/>
  <c r="O28" i="27"/>
  <c r="N28" i="27"/>
  <c r="F27" i="27"/>
  <c r="B27" i="27"/>
  <c r="Q26" i="27"/>
  <c r="P26" i="27"/>
  <c r="O26" i="27"/>
  <c r="N26" i="27"/>
  <c r="Q25" i="27"/>
  <c r="Q51" i="27" s="1"/>
  <c r="P25" i="27"/>
  <c r="O25" i="27"/>
  <c r="N25" i="27"/>
  <c r="Q24" i="27"/>
  <c r="Q27" i="27" s="1"/>
  <c r="P24" i="27"/>
  <c r="O24" i="27"/>
  <c r="N24" i="27"/>
  <c r="E24" i="27"/>
  <c r="D24" i="27"/>
  <c r="C24" i="27"/>
  <c r="B24" i="27"/>
  <c r="E23" i="27"/>
  <c r="D23" i="27"/>
  <c r="D51" i="27" s="1"/>
  <c r="C23" i="27"/>
  <c r="C51" i="27" s="1"/>
  <c r="B23" i="27"/>
  <c r="K79" i="26"/>
  <c r="J79" i="26"/>
  <c r="I79" i="26"/>
  <c r="H79" i="26"/>
  <c r="K78" i="26"/>
  <c r="J78" i="26"/>
  <c r="I78" i="26"/>
  <c r="H78" i="26"/>
  <c r="K72" i="26"/>
  <c r="J71" i="26"/>
  <c r="I71" i="26"/>
  <c r="H71" i="26"/>
  <c r="J68" i="26"/>
  <c r="I68" i="26"/>
  <c r="J67" i="26"/>
  <c r="I67" i="26"/>
  <c r="H67" i="26"/>
  <c r="J66" i="26"/>
  <c r="I66" i="26"/>
  <c r="H66" i="26"/>
  <c r="J65" i="26"/>
  <c r="E58" i="26"/>
  <c r="D58" i="26"/>
  <c r="C58" i="26"/>
  <c r="B58" i="26"/>
  <c r="H70" i="26" s="1"/>
  <c r="E57" i="26"/>
  <c r="D57" i="26"/>
  <c r="C57" i="26"/>
  <c r="B57" i="26"/>
  <c r="K56" i="26"/>
  <c r="J56" i="26"/>
  <c r="I56" i="26"/>
  <c r="H56" i="26"/>
  <c r="E56" i="26"/>
  <c r="D56" i="26"/>
  <c r="C56" i="26"/>
  <c r="B56" i="26"/>
  <c r="K55" i="26"/>
  <c r="J55" i="26"/>
  <c r="I55" i="26"/>
  <c r="H55" i="26"/>
  <c r="E55" i="26"/>
  <c r="D55" i="26"/>
  <c r="C55" i="26"/>
  <c r="B55" i="26"/>
  <c r="K54" i="26"/>
  <c r="J54" i="26"/>
  <c r="I54" i="26"/>
  <c r="H54" i="26"/>
  <c r="E54" i="26"/>
  <c r="D54" i="26"/>
  <c r="C54" i="26"/>
  <c r="B54" i="26"/>
  <c r="K53" i="26"/>
  <c r="J53" i="26"/>
  <c r="I53" i="26"/>
  <c r="I69" i="26" s="1"/>
  <c r="H53" i="26"/>
  <c r="E53" i="26"/>
  <c r="D53" i="26"/>
  <c r="C53" i="26"/>
  <c r="B53" i="26"/>
  <c r="K52" i="26"/>
  <c r="J52" i="26"/>
  <c r="I52" i="26"/>
  <c r="H52" i="26"/>
  <c r="H68" i="26" s="1"/>
  <c r="E52" i="26"/>
  <c r="D52" i="26"/>
  <c r="C52" i="26"/>
  <c r="B52" i="26"/>
  <c r="K51" i="26"/>
  <c r="J51" i="26"/>
  <c r="I51" i="26"/>
  <c r="H65" i="26" s="1"/>
  <c r="H51" i="26"/>
  <c r="N50" i="26"/>
  <c r="J50" i="26"/>
  <c r="I50" i="26"/>
  <c r="H50" i="26"/>
  <c r="Q48" i="26"/>
  <c r="Q47" i="26"/>
  <c r="P47" i="26"/>
  <c r="K46" i="26"/>
  <c r="J46" i="26"/>
  <c r="I46" i="26"/>
  <c r="H46" i="26"/>
  <c r="Q45" i="26"/>
  <c r="K45" i="26"/>
  <c r="J45" i="26"/>
  <c r="I45" i="26"/>
  <c r="H45" i="26"/>
  <c r="Q44" i="26"/>
  <c r="K44" i="26"/>
  <c r="J44" i="26"/>
  <c r="I44" i="26"/>
  <c r="H44" i="26"/>
  <c r="K43" i="26"/>
  <c r="J43" i="26"/>
  <c r="I43" i="26"/>
  <c r="H43" i="26"/>
  <c r="Q42" i="26"/>
  <c r="P42" i="26"/>
  <c r="O42" i="26"/>
  <c r="N42" i="26"/>
  <c r="K42" i="26"/>
  <c r="J42" i="26"/>
  <c r="I42" i="26"/>
  <c r="H42" i="26"/>
  <c r="Q41" i="26"/>
  <c r="P41" i="26"/>
  <c r="O41" i="26"/>
  <c r="N41" i="26"/>
  <c r="K41" i="26"/>
  <c r="J41" i="26"/>
  <c r="I41" i="26"/>
  <c r="H41" i="26"/>
  <c r="E41" i="26"/>
  <c r="D41" i="26"/>
  <c r="C41" i="26"/>
  <c r="B41" i="26"/>
  <c r="Q40" i="26"/>
  <c r="P40" i="26"/>
  <c r="O40" i="26"/>
  <c r="N40" i="26"/>
  <c r="K40" i="26"/>
  <c r="J40" i="26"/>
  <c r="I40" i="26"/>
  <c r="H40" i="26"/>
  <c r="E40" i="26"/>
  <c r="D40" i="26"/>
  <c r="C40" i="26"/>
  <c r="B40" i="26"/>
  <c r="Q39" i="26"/>
  <c r="P39" i="26"/>
  <c r="O39" i="26"/>
  <c r="N39" i="26"/>
  <c r="K39" i="26"/>
  <c r="J39" i="26"/>
  <c r="I39" i="26"/>
  <c r="H39" i="26"/>
  <c r="E39" i="26"/>
  <c r="D39" i="26"/>
  <c r="C39" i="26"/>
  <c r="B39" i="26"/>
  <c r="Q38" i="26"/>
  <c r="P38" i="26"/>
  <c r="O38" i="26"/>
  <c r="N38" i="26"/>
  <c r="K38" i="26"/>
  <c r="J38" i="26"/>
  <c r="I38" i="26"/>
  <c r="H38" i="26"/>
  <c r="E38" i="26"/>
  <c r="D38" i="26"/>
  <c r="C38" i="26"/>
  <c r="B38" i="26"/>
  <c r="Q37" i="26"/>
  <c r="P37" i="26"/>
  <c r="O37" i="26"/>
  <c r="N37" i="26"/>
  <c r="K37" i="26"/>
  <c r="J37" i="26"/>
  <c r="I37" i="26"/>
  <c r="H37" i="26"/>
  <c r="E37" i="26"/>
  <c r="D37" i="26"/>
  <c r="C37" i="26"/>
  <c r="B37" i="26"/>
  <c r="Q36" i="26"/>
  <c r="P36" i="26"/>
  <c r="O36" i="26"/>
  <c r="N36" i="26"/>
  <c r="K36" i="26"/>
  <c r="J36" i="26"/>
  <c r="I36" i="26"/>
  <c r="H36" i="26"/>
  <c r="E36" i="26"/>
  <c r="D36" i="26"/>
  <c r="C36" i="26"/>
  <c r="B36" i="26"/>
  <c r="Q35" i="26"/>
  <c r="P35" i="26"/>
  <c r="O35" i="26"/>
  <c r="N35" i="26"/>
  <c r="K35" i="26"/>
  <c r="J35" i="26"/>
  <c r="I35" i="26"/>
  <c r="H35" i="26"/>
  <c r="E35" i="26"/>
  <c r="D35" i="26"/>
  <c r="C35" i="26"/>
  <c r="B35" i="26"/>
  <c r="Q34" i="26"/>
  <c r="P34" i="26"/>
  <c r="O34" i="26"/>
  <c r="N34" i="26"/>
  <c r="K34" i="26"/>
  <c r="J34" i="26"/>
  <c r="I34" i="26"/>
  <c r="H34" i="26"/>
  <c r="E34" i="26"/>
  <c r="D34" i="26"/>
  <c r="C34" i="26"/>
  <c r="B34" i="26"/>
  <c r="Q33" i="26"/>
  <c r="P33" i="26"/>
  <c r="O33" i="26"/>
  <c r="N33" i="26"/>
  <c r="K33" i="26"/>
  <c r="J33" i="26"/>
  <c r="I33" i="26"/>
  <c r="H33" i="26"/>
  <c r="E33" i="26"/>
  <c r="D33" i="26"/>
  <c r="C33" i="26"/>
  <c r="B33" i="26"/>
  <c r="Q32" i="26"/>
  <c r="P32" i="26"/>
  <c r="O32" i="26"/>
  <c r="N32" i="26"/>
  <c r="K32" i="26"/>
  <c r="J32" i="26"/>
  <c r="I32" i="26"/>
  <c r="H32" i="26"/>
  <c r="E32" i="26"/>
  <c r="D32" i="26"/>
  <c r="C32" i="26"/>
  <c r="B32" i="26"/>
  <c r="Q31" i="26"/>
  <c r="P31" i="26"/>
  <c r="O31" i="26"/>
  <c r="N31" i="26"/>
  <c r="K31" i="26"/>
  <c r="J31" i="26"/>
  <c r="I31" i="26"/>
  <c r="H31" i="26"/>
  <c r="E31" i="26"/>
  <c r="D31" i="26"/>
  <c r="C31" i="26"/>
  <c r="B31" i="26"/>
  <c r="Q30" i="26"/>
  <c r="P30" i="26"/>
  <c r="O30" i="26"/>
  <c r="N30" i="26"/>
  <c r="K30" i="26"/>
  <c r="J30" i="26"/>
  <c r="I30" i="26"/>
  <c r="H30" i="26"/>
  <c r="E30" i="26"/>
  <c r="D30" i="26"/>
  <c r="C30" i="26"/>
  <c r="B30" i="26"/>
  <c r="P28" i="26"/>
  <c r="P50" i="26" s="1"/>
  <c r="O28" i="26"/>
  <c r="N28" i="26"/>
  <c r="N27" i="26"/>
  <c r="F27" i="26"/>
  <c r="B27" i="26"/>
  <c r="Q26" i="26"/>
  <c r="P26" i="26"/>
  <c r="O26" i="26"/>
  <c r="N26" i="26"/>
  <c r="Q25" i="26"/>
  <c r="P25" i="26"/>
  <c r="O25" i="26"/>
  <c r="O50" i="26" s="1"/>
  <c r="N25" i="26"/>
  <c r="Q24" i="26"/>
  <c r="Q52" i="26" s="1"/>
  <c r="P24" i="26"/>
  <c r="O24" i="26"/>
  <c r="N24" i="26"/>
  <c r="N51" i="26" s="1"/>
  <c r="E24" i="26"/>
  <c r="D24" i="26"/>
  <c r="C24" i="26"/>
  <c r="B24" i="26"/>
  <c r="E23" i="26"/>
  <c r="E51" i="26" s="1"/>
  <c r="D23" i="26"/>
  <c r="D51" i="26" s="1"/>
  <c r="C23" i="26"/>
  <c r="B23" i="26"/>
  <c r="B51" i="26" s="1"/>
  <c r="C6" i="26"/>
  <c r="K79" i="25"/>
  <c r="J79" i="25"/>
  <c r="I79" i="25"/>
  <c r="H79" i="25"/>
  <c r="K78" i="25"/>
  <c r="J78" i="25"/>
  <c r="I78" i="25"/>
  <c r="H78" i="25"/>
  <c r="I72" i="25"/>
  <c r="H72" i="25"/>
  <c r="J71" i="25"/>
  <c r="I71" i="25"/>
  <c r="H71" i="25"/>
  <c r="J70" i="25"/>
  <c r="I70" i="25"/>
  <c r="J69" i="25"/>
  <c r="I69" i="25"/>
  <c r="H69" i="25"/>
  <c r="J67" i="25"/>
  <c r="I67" i="25"/>
  <c r="H67" i="25"/>
  <c r="J66" i="25"/>
  <c r="I66" i="25"/>
  <c r="H66" i="25"/>
  <c r="E58" i="25"/>
  <c r="D58" i="25"/>
  <c r="C58" i="25"/>
  <c r="B58" i="25"/>
  <c r="H70" i="25" s="1"/>
  <c r="E57" i="25"/>
  <c r="D57" i="25"/>
  <c r="C57" i="25"/>
  <c r="B57" i="25"/>
  <c r="K56" i="25"/>
  <c r="J56" i="25"/>
  <c r="I56" i="25"/>
  <c r="H56" i="25"/>
  <c r="E56" i="25"/>
  <c r="D56" i="25"/>
  <c r="C56" i="25"/>
  <c r="B56" i="25"/>
  <c r="K55" i="25"/>
  <c r="J55" i="25"/>
  <c r="I55" i="25"/>
  <c r="H55" i="25"/>
  <c r="E55" i="25"/>
  <c r="D55" i="25"/>
  <c r="C55" i="25"/>
  <c r="B55" i="25"/>
  <c r="K54" i="25"/>
  <c r="J54" i="25"/>
  <c r="I54" i="25"/>
  <c r="H54" i="25"/>
  <c r="E54" i="25"/>
  <c r="D54" i="25"/>
  <c r="C54" i="25"/>
  <c r="B54" i="25"/>
  <c r="N53" i="25"/>
  <c r="K53" i="25"/>
  <c r="J53" i="25"/>
  <c r="I53" i="25"/>
  <c r="H53" i="25"/>
  <c r="E53" i="25"/>
  <c r="D53" i="25"/>
  <c r="C53" i="25"/>
  <c r="B53" i="25"/>
  <c r="O52" i="25"/>
  <c r="N52" i="25"/>
  <c r="K52" i="25"/>
  <c r="J52" i="25"/>
  <c r="I52" i="25"/>
  <c r="H52" i="25"/>
  <c r="E52" i="25"/>
  <c r="D52" i="25"/>
  <c r="C52" i="25"/>
  <c r="B52" i="25"/>
  <c r="K51" i="25"/>
  <c r="J65" i="25" s="1"/>
  <c r="J51" i="25"/>
  <c r="I65" i="25" s="1"/>
  <c r="I51" i="25"/>
  <c r="H51" i="25"/>
  <c r="D51" i="25"/>
  <c r="C51" i="25"/>
  <c r="J50" i="25"/>
  <c r="I50" i="25"/>
  <c r="H50" i="25"/>
  <c r="P48" i="25"/>
  <c r="O48" i="25"/>
  <c r="N48" i="25"/>
  <c r="P46" i="25"/>
  <c r="O46" i="25"/>
  <c r="N46" i="25"/>
  <c r="K46" i="25"/>
  <c r="J46" i="25"/>
  <c r="I46" i="25"/>
  <c r="H46" i="25"/>
  <c r="P45" i="25"/>
  <c r="O45" i="25"/>
  <c r="N45" i="25"/>
  <c r="K45" i="25"/>
  <c r="J45" i="25"/>
  <c r="I45" i="25"/>
  <c r="H45" i="25"/>
  <c r="P44" i="25"/>
  <c r="O44" i="25"/>
  <c r="N44" i="25"/>
  <c r="K44" i="25"/>
  <c r="J44" i="25"/>
  <c r="I44" i="25"/>
  <c r="H44" i="25"/>
  <c r="P43" i="25"/>
  <c r="O43" i="25"/>
  <c r="N43" i="25"/>
  <c r="K43" i="25"/>
  <c r="J43" i="25"/>
  <c r="I43" i="25"/>
  <c r="H43" i="25"/>
  <c r="Q42" i="25"/>
  <c r="P42" i="25"/>
  <c r="O42" i="25"/>
  <c r="N42" i="25"/>
  <c r="K42" i="25"/>
  <c r="J42" i="25"/>
  <c r="I42" i="25"/>
  <c r="H42" i="25"/>
  <c r="Q41" i="25"/>
  <c r="P41" i="25"/>
  <c r="O41" i="25"/>
  <c r="N41" i="25"/>
  <c r="K41" i="25"/>
  <c r="J41" i="25"/>
  <c r="I41" i="25"/>
  <c r="H41" i="25"/>
  <c r="E41" i="25"/>
  <c r="D41" i="25"/>
  <c r="C41" i="25"/>
  <c r="B41" i="25"/>
  <c r="Q40" i="25"/>
  <c r="P40" i="25"/>
  <c r="O40" i="25"/>
  <c r="N40" i="25"/>
  <c r="K40" i="25"/>
  <c r="J40" i="25"/>
  <c r="I40" i="25"/>
  <c r="H40" i="25"/>
  <c r="E40" i="25"/>
  <c r="D40" i="25"/>
  <c r="C40" i="25"/>
  <c r="B40" i="25"/>
  <c r="Q39" i="25"/>
  <c r="P39" i="25"/>
  <c r="O39" i="25"/>
  <c r="N39" i="25"/>
  <c r="K39" i="25"/>
  <c r="J39" i="25"/>
  <c r="I39" i="25"/>
  <c r="H39" i="25"/>
  <c r="E39" i="25"/>
  <c r="D39" i="25"/>
  <c r="C39" i="25"/>
  <c r="B39" i="25"/>
  <c r="Q38" i="25"/>
  <c r="P38" i="25"/>
  <c r="O38" i="25"/>
  <c r="N38" i="25"/>
  <c r="K38" i="25"/>
  <c r="J38" i="25"/>
  <c r="I38" i="25"/>
  <c r="H38" i="25"/>
  <c r="E38" i="25"/>
  <c r="D38" i="25"/>
  <c r="C38" i="25"/>
  <c r="B38" i="25"/>
  <c r="Q37" i="25"/>
  <c r="P37" i="25"/>
  <c r="O37" i="25"/>
  <c r="N37" i="25"/>
  <c r="K37" i="25"/>
  <c r="J37" i="25"/>
  <c r="I37" i="25"/>
  <c r="H37" i="25"/>
  <c r="E37" i="25"/>
  <c r="D37" i="25"/>
  <c r="C37" i="25"/>
  <c r="B37" i="25"/>
  <c r="Q36" i="25"/>
  <c r="P36" i="25"/>
  <c r="O36" i="25"/>
  <c r="N36" i="25"/>
  <c r="K36" i="25"/>
  <c r="J36" i="25"/>
  <c r="I36" i="25"/>
  <c r="H36" i="25"/>
  <c r="E36" i="25"/>
  <c r="D36" i="25"/>
  <c r="C36" i="25"/>
  <c r="B36" i="25"/>
  <c r="Q35" i="25"/>
  <c r="P35" i="25"/>
  <c r="O35" i="25"/>
  <c r="N35" i="25"/>
  <c r="K35" i="25"/>
  <c r="J35" i="25"/>
  <c r="I35" i="25"/>
  <c r="H35" i="25"/>
  <c r="E35" i="25"/>
  <c r="D35" i="25"/>
  <c r="C35" i="25"/>
  <c r="B35" i="25"/>
  <c r="Q34" i="25"/>
  <c r="P34" i="25"/>
  <c r="O34" i="25"/>
  <c r="N34" i="25"/>
  <c r="K34" i="25"/>
  <c r="J34" i="25"/>
  <c r="I34" i="25"/>
  <c r="H34" i="25"/>
  <c r="E34" i="25"/>
  <c r="D34" i="25"/>
  <c r="C34" i="25"/>
  <c r="B34" i="25"/>
  <c r="Q33" i="25"/>
  <c r="P33" i="25"/>
  <c r="O33" i="25"/>
  <c r="N33" i="25"/>
  <c r="K33" i="25"/>
  <c r="J33" i="25"/>
  <c r="I33" i="25"/>
  <c r="H33" i="25"/>
  <c r="E33" i="25"/>
  <c r="D33" i="25"/>
  <c r="C33" i="25"/>
  <c r="B33" i="25"/>
  <c r="Q32" i="25"/>
  <c r="P32" i="25"/>
  <c r="O32" i="25"/>
  <c r="N32" i="25"/>
  <c r="K32" i="25"/>
  <c r="J32" i="25"/>
  <c r="I32" i="25"/>
  <c r="H32" i="25"/>
  <c r="E32" i="25"/>
  <c r="D32" i="25"/>
  <c r="C32" i="25"/>
  <c r="B32" i="25"/>
  <c r="Q31" i="25"/>
  <c r="P31" i="25"/>
  <c r="O31" i="25"/>
  <c r="N31" i="25"/>
  <c r="K31" i="25"/>
  <c r="J31" i="25"/>
  <c r="I31" i="25"/>
  <c r="H31" i="25"/>
  <c r="E31" i="25"/>
  <c r="D31" i="25"/>
  <c r="C31" i="25"/>
  <c r="B31" i="25"/>
  <c r="Q30" i="25"/>
  <c r="P30" i="25"/>
  <c r="O30" i="25"/>
  <c r="N30" i="25"/>
  <c r="K30" i="25"/>
  <c r="J30" i="25"/>
  <c r="I30" i="25"/>
  <c r="H30" i="25"/>
  <c r="E30" i="25"/>
  <c r="D30" i="25"/>
  <c r="C30" i="25"/>
  <c r="B30" i="25"/>
  <c r="P28" i="25"/>
  <c r="P50" i="25" s="1"/>
  <c r="O28" i="25"/>
  <c r="O50" i="25" s="1"/>
  <c r="N28" i="25"/>
  <c r="N50" i="25" s="1"/>
  <c r="P27" i="25"/>
  <c r="F27" i="25"/>
  <c r="B27" i="25"/>
  <c r="Q26" i="25"/>
  <c r="P26" i="25"/>
  <c r="O26" i="25"/>
  <c r="N26" i="25"/>
  <c r="Q25" i="25"/>
  <c r="P25" i="25"/>
  <c r="P51" i="25" s="1"/>
  <c r="O25" i="25"/>
  <c r="O51" i="25" s="1"/>
  <c r="N25" i="25"/>
  <c r="Q24" i="25"/>
  <c r="P24" i="25"/>
  <c r="J72" i="25" s="1"/>
  <c r="O24" i="25"/>
  <c r="O49" i="25" s="1"/>
  <c r="N24" i="25"/>
  <c r="N27" i="25" s="1"/>
  <c r="E24" i="25"/>
  <c r="D24" i="25"/>
  <c r="C24" i="25"/>
  <c r="B24" i="25"/>
  <c r="E23" i="25"/>
  <c r="E51" i="25" s="1"/>
  <c r="D23" i="25"/>
  <c r="C23" i="25"/>
  <c r="C26" i="25" s="1"/>
  <c r="B23" i="25"/>
  <c r="B26" i="25" s="1"/>
  <c r="C6" i="25"/>
  <c r="J77" i="24"/>
  <c r="I77" i="24"/>
  <c r="H77" i="24"/>
  <c r="K71" i="24"/>
  <c r="J71" i="24"/>
  <c r="J70" i="24"/>
  <c r="I70" i="24"/>
  <c r="H70" i="24"/>
  <c r="H69" i="24"/>
  <c r="I67" i="24"/>
  <c r="J66" i="24"/>
  <c r="I66" i="24"/>
  <c r="H66" i="24"/>
  <c r="J65" i="24"/>
  <c r="I65" i="24"/>
  <c r="H65" i="24"/>
  <c r="J64" i="24"/>
  <c r="K62" i="24"/>
  <c r="J62" i="24"/>
  <c r="I62" i="24"/>
  <c r="H62" i="24"/>
  <c r="K61" i="24"/>
  <c r="J61" i="24"/>
  <c r="K59" i="24"/>
  <c r="J59" i="24"/>
  <c r="I59" i="24"/>
  <c r="H59" i="24"/>
  <c r="K58" i="24"/>
  <c r="K60" i="24" s="1"/>
  <c r="J58" i="24"/>
  <c r="I58" i="24"/>
  <c r="I61" i="24" s="1"/>
  <c r="H58" i="24"/>
  <c r="H61" i="24" s="1"/>
  <c r="E58" i="24"/>
  <c r="D58" i="24"/>
  <c r="C58" i="24"/>
  <c r="B58" i="24"/>
  <c r="K57" i="24"/>
  <c r="J57" i="24"/>
  <c r="I57" i="24"/>
  <c r="H57" i="24"/>
  <c r="E57" i="24"/>
  <c r="D57" i="24"/>
  <c r="C57" i="24"/>
  <c r="B57" i="24"/>
  <c r="K56" i="24"/>
  <c r="J56" i="24"/>
  <c r="I56" i="24"/>
  <c r="H56" i="24"/>
  <c r="E56" i="24"/>
  <c r="D56" i="24"/>
  <c r="C56" i="24"/>
  <c r="B56" i="24"/>
  <c r="K55" i="24"/>
  <c r="J55" i="24"/>
  <c r="I55" i="24"/>
  <c r="H55" i="24"/>
  <c r="E55" i="24"/>
  <c r="D55" i="24"/>
  <c r="C55" i="24"/>
  <c r="B55" i="24"/>
  <c r="K54" i="24"/>
  <c r="J54" i="24"/>
  <c r="I54" i="24"/>
  <c r="H54" i="24"/>
  <c r="E54" i="24"/>
  <c r="D54" i="24"/>
  <c r="C54" i="24"/>
  <c r="B54" i="24"/>
  <c r="K53" i="24"/>
  <c r="J53" i="24"/>
  <c r="I53" i="24"/>
  <c r="H53" i="24"/>
  <c r="E53" i="24"/>
  <c r="D53" i="24"/>
  <c r="C53" i="24"/>
  <c r="B53" i="24"/>
  <c r="K52" i="24"/>
  <c r="J52" i="24"/>
  <c r="J67" i="24" s="1"/>
  <c r="I52" i="24"/>
  <c r="H52" i="24"/>
  <c r="H67" i="24" s="1"/>
  <c r="E52" i="24"/>
  <c r="D52" i="24"/>
  <c r="C52" i="24"/>
  <c r="B52" i="24"/>
  <c r="N51" i="24"/>
  <c r="K51" i="24"/>
  <c r="J51" i="24"/>
  <c r="I64" i="24" s="1"/>
  <c r="I51" i="24"/>
  <c r="H51" i="24"/>
  <c r="H64" i="24" s="1"/>
  <c r="B51" i="24"/>
  <c r="J50" i="24"/>
  <c r="I50" i="24"/>
  <c r="H50" i="24"/>
  <c r="N49" i="24"/>
  <c r="Q48" i="24"/>
  <c r="P48" i="24"/>
  <c r="Q46" i="24"/>
  <c r="P46" i="24"/>
  <c r="K46" i="24"/>
  <c r="J46" i="24"/>
  <c r="I46" i="24"/>
  <c r="H46" i="24"/>
  <c r="Q45" i="24"/>
  <c r="P45" i="24"/>
  <c r="K45" i="24"/>
  <c r="J45" i="24"/>
  <c r="I45" i="24"/>
  <c r="H45" i="24"/>
  <c r="Q44" i="24"/>
  <c r="P44" i="24"/>
  <c r="K44" i="24"/>
  <c r="J44" i="24"/>
  <c r="I44" i="24"/>
  <c r="H44" i="24"/>
  <c r="Q43" i="24"/>
  <c r="P43" i="24"/>
  <c r="K43" i="24"/>
  <c r="J43" i="24"/>
  <c r="I43" i="24"/>
  <c r="H43" i="24"/>
  <c r="Q42" i="24"/>
  <c r="P42" i="24"/>
  <c r="O42" i="24"/>
  <c r="N42" i="24"/>
  <c r="K42" i="24"/>
  <c r="J42" i="24"/>
  <c r="I42" i="24"/>
  <c r="H42" i="24"/>
  <c r="Q41" i="24"/>
  <c r="P41" i="24"/>
  <c r="O41" i="24"/>
  <c r="N41" i="24"/>
  <c r="K41" i="24"/>
  <c r="J41" i="24"/>
  <c r="I41" i="24"/>
  <c r="H41" i="24"/>
  <c r="E41" i="24"/>
  <c r="D41" i="24"/>
  <c r="C41" i="24"/>
  <c r="B41" i="24"/>
  <c r="Q40" i="24"/>
  <c r="P40" i="24"/>
  <c r="O40" i="24"/>
  <c r="N40" i="24"/>
  <c r="K40" i="24"/>
  <c r="J40" i="24"/>
  <c r="I40" i="24"/>
  <c r="H40" i="24"/>
  <c r="E40" i="24"/>
  <c r="D40" i="24"/>
  <c r="C40" i="24"/>
  <c r="B40" i="24"/>
  <c r="Q39" i="24"/>
  <c r="P39" i="24"/>
  <c r="O39" i="24"/>
  <c r="N39" i="24"/>
  <c r="K39" i="24"/>
  <c r="J39" i="24"/>
  <c r="I39" i="24"/>
  <c r="H39" i="24"/>
  <c r="E39" i="24"/>
  <c r="D39" i="24"/>
  <c r="C39" i="24"/>
  <c r="B39" i="24"/>
  <c r="Q38" i="24"/>
  <c r="P38" i="24"/>
  <c r="O38" i="24"/>
  <c r="N38" i="24"/>
  <c r="K38" i="24"/>
  <c r="J38" i="24"/>
  <c r="I38" i="24"/>
  <c r="H38" i="24"/>
  <c r="E38" i="24"/>
  <c r="D38" i="24"/>
  <c r="C38" i="24"/>
  <c r="B38" i="24"/>
  <c r="Q37" i="24"/>
  <c r="P37" i="24"/>
  <c r="O37" i="24"/>
  <c r="N37" i="24"/>
  <c r="K37" i="24"/>
  <c r="J37" i="24"/>
  <c r="I37" i="24"/>
  <c r="H37" i="24"/>
  <c r="E37" i="24"/>
  <c r="D37" i="24"/>
  <c r="C37" i="24"/>
  <c r="B37" i="24"/>
  <c r="Q36" i="24"/>
  <c r="P36" i="24"/>
  <c r="O36" i="24"/>
  <c r="N36" i="24"/>
  <c r="K36" i="24"/>
  <c r="J36" i="24"/>
  <c r="I36" i="24"/>
  <c r="H36" i="24"/>
  <c r="E36" i="24"/>
  <c r="D36" i="24"/>
  <c r="C36" i="24"/>
  <c r="B36" i="24"/>
  <c r="Q35" i="24"/>
  <c r="P35" i="24"/>
  <c r="O35" i="24"/>
  <c r="N35" i="24"/>
  <c r="K35" i="24"/>
  <c r="J35" i="24"/>
  <c r="I35" i="24"/>
  <c r="H35" i="24"/>
  <c r="E35" i="24"/>
  <c r="D35" i="24"/>
  <c r="C35" i="24"/>
  <c r="B35" i="24"/>
  <c r="Q34" i="24"/>
  <c r="P34" i="24"/>
  <c r="O34" i="24"/>
  <c r="N34" i="24"/>
  <c r="K34" i="24"/>
  <c r="J34" i="24"/>
  <c r="I34" i="24"/>
  <c r="H34" i="24"/>
  <c r="E34" i="24"/>
  <c r="D34" i="24"/>
  <c r="C34" i="24"/>
  <c r="B34" i="24"/>
  <c r="Q33" i="24"/>
  <c r="P33" i="24"/>
  <c r="O33" i="24"/>
  <c r="N33" i="24"/>
  <c r="K33" i="24"/>
  <c r="J33" i="24"/>
  <c r="I33" i="24"/>
  <c r="H33" i="24"/>
  <c r="E33" i="24"/>
  <c r="D33" i="24"/>
  <c r="C33" i="24"/>
  <c r="B33" i="24"/>
  <c r="Q32" i="24"/>
  <c r="P32" i="24"/>
  <c r="O32" i="24"/>
  <c r="N32" i="24"/>
  <c r="K32" i="24"/>
  <c r="J32" i="24"/>
  <c r="I32" i="24"/>
  <c r="H32" i="24"/>
  <c r="E32" i="24"/>
  <c r="D32" i="24"/>
  <c r="C32" i="24"/>
  <c r="B32" i="24"/>
  <c r="Q31" i="24"/>
  <c r="P31" i="24"/>
  <c r="O31" i="24"/>
  <c r="N31" i="24"/>
  <c r="K31" i="24"/>
  <c r="J31" i="24"/>
  <c r="I31" i="24"/>
  <c r="H31" i="24"/>
  <c r="E31" i="24"/>
  <c r="D31" i="24"/>
  <c r="C31" i="24"/>
  <c r="B31" i="24"/>
  <c r="Q30" i="24"/>
  <c r="P30" i="24"/>
  <c r="O30" i="24"/>
  <c r="N30" i="24"/>
  <c r="K30" i="24"/>
  <c r="J30" i="24"/>
  <c r="I30" i="24"/>
  <c r="H30" i="24"/>
  <c r="E30" i="24"/>
  <c r="D30" i="24"/>
  <c r="C30" i="24"/>
  <c r="B30" i="24"/>
  <c r="P27" i="24"/>
  <c r="Q26" i="24"/>
  <c r="P26" i="24"/>
  <c r="O26" i="24"/>
  <c r="N26" i="24"/>
  <c r="Q25" i="24"/>
  <c r="Q27" i="24" s="1"/>
  <c r="P25" i="24"/>
  <c r="P51" i="24" s="1"/>
  <c r="O25" i="24"/>
  <c r="N25" i="24"/>
  <c r="Q24" i="24"/>
  <c r="Q49" i="24" s="1"/>
  <c r="P24" i="24"/>
  <c r="P49" i="24" s="1"/>
  <c r="O24" i="24"/>
  <c r="N24" i="24"/>
  <c r="H71" i="24" s="1"/>
  <c r="E23" i="24"/>
  <c r="E51" i="24" s="1"/>
  <c r="D23" i="24"/>
  <c r="D51" i="24" s="1"/>
  <c r="C23" i="24"/>
  <c r="C51" i="24" s="1"/>
  <c r="B23" i="24"/>
  <c r="B6" i="24"/>
  <c r="K77" i="24" s="1"/>
  <c r="K71" i="23"/>
  <c r="J71" i="23"/>
  <c r="L70" i="23"/>
  <c r="K70" i="23"/>
  <c r="J70" i="23"/>
  <c r="L69" i="23"/>
  <c r="L66" i="23"/>
  <c r="K66" i="23"/>
  <c r="J66" i="23"/>
  <c r="L65" i="23"/>
  <c r="K65" i="23"/>
  <c r="J65" i="23"/>
  <c r="F58" i="23"/>
  <c r="E58" i="23"/>
  <c r="D58" i="23"/>
  <c r="K69" i="23" s="1"/>
  <c r="C58" i="23"/>
  <c r="J69" i="23" s="1"/>
  <c r="B58" i="23"/>
  <c r="F57" i="23"/>
  <c r="E57" i="23"/>
  <c r="D57" i="23"/>
  <c r="C57" i="23"/>
  <c r="B57" i="23"/>
  <c r="M56" i="23"/>
  <c r="L56" i="23"/>
  <c r="K56" i="23"/>
  <c r="J56" i="23"/>
  <c r="I56" i="23"/>
  <c r="F56" i="23"/>
  <c r="E56" i="23"/>
  <c r="D56" i="23"/>
  <c r="C56" i="23"/>
  <c r="B56" i="23"/>
  <c r="M55" i="23"/>
  <c r="L55" i="23"/>
  <c r="K55" i="23"/>
  <c r="J55" i="23"/>
  <c r="I55" i="23"/>
  <c r="F55" i="23"/>
  <c r="E55" i="23"/>
  <c r="D55" i="23"/>
  <c r="C55" i="23"/>
  <c r="B55" i="23"/>
  <c r="M54" i="23"/>
  <c r="L54" i="23"/>
  <c r="K54" i="23"/>
  <c r="J54" i="23"/>
  <c r="I54" i="23"/>
  <c r="F54" i="23"/>
  <c r="E54" i="23"/>
  <c r="D54" i="23"/>
  <c r="C54" i="23"/>
  <c r="B54" i="23"/>
  <c r="F53" i="23"/>
  <c r="E53" i="23"/>
  <c r="D53" i="23"/>
  <c r="C53" i="23"/>
  <c r="B53" i="23"/>
  <c r="M52" i="23"/>
  <c r="L52" i="23"/>
  <c r="L67" i="23" s="1"/>
  <c r="K52" i="23"/>
  <c r="K67" i="23" s="1"/>
  <c r="J52" i="23"/>
  <c r="I52" i="23"/>
  <c r="F52" i="23"/>
  <c r="E52" i="23"/>
  <c r="D52" i="23"/>
  <c r="C52" i="23"/>
  <c r="B52" i="23"/>
  <c r="T51" i="23"/>
  <c r="M51" i="23"/>
  <c r="L64" i="23" s="1"/>
  <c r="L51" i="23"/>
  <c r="K51" i="23"/>
  <c r="J64" i="23" s="1"/>
  <c r="J51" i="23"/>
  <c r="I51" i="23"/>
  <c r="C51" i="23"/>
  <c r="L50" i="23"/>
  <c r="K50" i="23"/>
  <c r="J50" i="23"/>
  <c r="I50" i="23"/>
  <c r="R49" i="23"/>
  <c r="Q49" i="23"/>
  <c r="P49" i="23"/>
  <c r="T48" i="23"/>
  <c r="P48" i="23"/>
  <c r="T47" i="23"/>
  <c r="R47" i="23"/>
  <c r="Q47" i="23"/>
  <c r="R46" i="23"/>
  <c r="Q46" i="23"/>
  <c r="P46" i="23"/>
  <c r="M46" i="23"/>
  <c r="L46" i="23"/>
  <c r="K46" i="23"/>
  <c r="J46" i="23"/>
  <c r="I46" i="23"/>
  <c r="T45" i="23"/>
  <c r="R45" i="23"/>
  <c r="Q45" i="23"/>
  <c r="P45" i="23"/>
  <c r="M45" i="23"/>
  <c r="L45" i="23"/>
  <c r="K45" i="23"/>
  <c r="J45" i="23"/>
  <c r="I45" i="23"/>
  <c r="T44" i="23"/>
  <c r="R44" i="23"/>
  <c r="M44" i="23"/>
  <c r="L44" i="23"/>
  <c r="K44" i="23"/>
  <c r="J44" i="23"/>
  <c r="I44" i="23"/>
  <c r="T43" i="23"/>
  <c r="P43" i="23"/>
  <c r="M43" i="23"/>
  <c r="L43" i="23"/>
  <c r="K43" i="23"/>
  <c r="J43" i="23"/>
  <c r="I43" i="23"/>
  <c r="T42" i="23"/>
  <c r="S42" i="23"/>
  <c r="R42" i="23"/>
  <c r="Q42" i="23"/>
  <c r="P42" i="23"/>
  <c r="M42" i="23"/>
  <c r="L42" i="23"/>
  <c r="K42" i="23"/>
  <c r="J42" i="23"/>
  <c r="I42" i="23"/>
  <c r="T41" i="23"/>
  <c r="S41" i="23"/>
  <c r="R41" i="23"/>
  <c r="Q41" i="23"/>
  <c r="P41" i="23"/>
  <c r="M41" i="23"/>
  <c r="L41" i="23"/>
  <c r="K41" i="23"/>
  <c r="J41" i="23"/>
  <c r="I41" i="23"/>
  <c r="F41" i="23"/>
  <c r="E41" i="23"/>
  <c r="D41" i="23"/>
  <c r="C41" i="23"/>
  <c r="B41" i="23"/>
  <c r="T40" i="23"/>
  <c r="S40" i="23"/>
  <c r="R40" i="23"/>
  <c r="Q40" i="23"/>
  <c r="P40" i="23"/>
  <c r="M40" i="23"/>
  <c r="L40" i="23"/>
  <c r="K40" i="23"/>
  <c r="J40" i="23"/>
  <c r="I40" i="23"/>
  <c r="F40" i="23"/>
  <c r="E40" i="23"/>
  <c r="D40" i="23"/>
  <c r="C40" i="23"/>
  <c r="B40" i="23"/>
  <c r="T39" i="23"/>
  <c r="S39" i="23"/>
  <c r="R39" i="23"/>
  <c r="Q39" i="23"/>
  <c r="P39" i="23"/>
  <c r="M39" i="23"/>
  <c r="L39" i="23"/>
  <c r="K39" i="23"/>
  <c r="J39" i="23"/>
  <c r="I39" i="23"/>
  <c r="F39" i="23"/>
  <c r="E39" i="23"/>
  <c r="D39" i="23"/>
  <c r="C39" i="23"/>
  <c r="B39" i="23"/>
  <c r="T38" i="23"/>
  <c r="S38" i="23"/>
  <c r="R38" i="23"/>
  <c r="Q38" i="23"/>
  <c r="P38" i="23"/>
  <c r="M38" i="23"/>
  <c r="L38" i="23"/>
  <c r="K38" i="23"/>
  <c r="J38" i="23"/>
  <c r="I38" i="23"/>
  <c r="F38" i="23"/>
  <c r="E38" i="23"/>
  <c r="D38" i="23"/>
  <c r="C38" i="23"/>
  <c r="B38" i="23"/>
  <c r="T37" i="23"/>
  <c r="S37" i="23"/>
  <c r="R37" i="23"/>
  <c r="Q37" i="23"/>
  <c r="P37" i="23"/>
  <c r="M37" i="23"/>
  <c r="L37" i="23"/>
  <c r="K37" i="23"/>
  <c r="J37" i="23"/>
  <c r="I37" i="23"/>
  <c r="F37" i="23"/>
  <c r="E37" i="23"/>
  <c r="D37" i="23"/>
  <c r="C37" i="23"/>
  <c r="B37" i="23"/>
  <c r="T36" i="23"/>
  <c r="S36" i="23"/>
  <c r="R36" i="23"/>
  <c r="Q36" i="23"/>
  <c r="P36" i="23"/>
  <c r="M36" i="23"/>
  <c r="L36" i="23"/>
  <c r="K36" i="23"/>
  <c r="J36" i="23"/>
  <c r="I36" i="23"/>
  <c r="F36" i="23"/>
  <c r="E36" i="23"/>
  <c r="D36" i="23"/>
  <c r="C36" i="23"/>
  <c r="B36" i="23"/>
  <c r="T35" i="23"/>
  <c r="S35" i="23"/>
  <c r="R35" i="23"/>
  <c r="Q35" i="23"/>
  <c r="P35" i="23"/>
  <c r="M35" i="23"/>
  <c r="L35" i="23"/>
  <c r="K35" i="23"/>
  <c r="J35" i="23"/>
  <c r="I35" i="23"/>
  <c r="F35" i="23"/>
  <c r="E35" i="23"/>
  <c r="D35" i="23"/>
  <c r="C35" i="23"/>
  <c r="B35" i="23"/>
  <c r="T34" i="23"/>
  <c r="S34" i="23"/>
  <c r="R34" i="23"/>
  <c r="Q34" i="23"/>
  <c r="P34" i="23"/>
  <c r="M34" i="23"/>
  <c r="L34" i="23"/>
  <c r="K34" i="23"/>
  <c r="J34" i="23"/>
  <c r="I34" i="23"/>
  <c r="F34" i="23"/>
  <c r="E34" i="23"/>
  <c r="D34" i="23"/>
  <c r="C34" i="23"/>
  <c r="B34" i="23"/>
  <c r="T33" i="23"/>
  <c r="S33" i="23"/>
  <c r="R33" i="23"/>
  <c r="Q33" i="23"/>
  <c r="P33" i="23"/>
  <c r="M33" i="23"/>
  <c r="L33" i="23"/>
  <c r="K33" i="23"/>
  <c r="J33" i="23"/>
  <c r="I33" i="23"/>
  <c r="F33" i="23"/>
  <c r="E33" i="23"/>
  <c r="D33" i="23"/>
  <c r="C33" i="23"/>
  <c r="B33" i="23"/>
  <c r="T32" i="23"/>
  <c r="S32" i="23"/>
  <c r="R32" i="23"/>
  <c r="Q32" i="23"/>
  <c r="P32" i="23"/>
  <c r="M32" i="23"/>
  <c r="L32" i="23"/>
  <c r="K32" i="23"/>
  <c r="J32" i="23"/>
  <c r="I32" i="23"/>
  <c r="F32" i="23"/>
  <c r="E32" i="23"/>
  <c r="D32" i="23"/>
  <c r="C32" i="23"/>
  <c r="B32" i="23"/>
  <c r="T31" i="23"/>
  <c r="S31" i="23"/>
  <c r="R31" i="23"/>
  <c r="Q31" i="23"/>
  <c r="P31" i="23"/>
  <c r="M31" i="23"/>
  <c r="L31" i="23"/>
  <c r="K31" i="23"/>
  <c r="J31" i="23"/>
  <c r="I31" i="23"/>
  <c r="F31" i="23"/>
  <c r="E31" i="23"/>
  <c r="D31" i="23"/>
  <c r="C31" i="23"/>
  <c r="B31" i="23"/>
  <c r="T30" i="23"/>
  <c r="S30" i="23"/>
  <c r="R30" i="23"/>
  <c r="Q30" i="23"/>
  <c r="P30" i="23"/>
  <c r="M30" i="23"/>
  <c r="L30" i="23"/>
  <c r="K30" i="23"/>
  <c r="J30" i="23"/>
  <c r="I30" i="23"/>
  <c r="F30" i="23"/>
  <c r="E30" i="23"/>
  <c r="D30" i="23"/>
  <c r="C30" i="23"/>
  <c r="B30" i="23"/>
  <c r="P27" i="23"/>
  <c r="T26" i="23"/>
  <c r="S26" i="23"/>
  <c r="R26" i="23"/>
  <c r="Q26" i="23"/>
  <c r="P26" i="23"/>
  <c r="T25" i="23"/>
  <c r="S25" i="23"/>
  <c r="R25" i="23"/>
  <c r="R27" i="23" s="1"/>
  <c r="Q25" i="23"/>
  <c r="P25" i="23"/>
  <c r="P51" i="23" s="1"/>
  <c r="T24" i="23"/>
  <c r="M71" i="23" s="1"/>
  <c r="S24" i="23"/>
  <c r="R24" i="23"/>
  <c r="Q24" i="23"/>
  <c r="Q51" i="23" s="1"/>
  <c r="P24" i="23"/>
  <c r="P44" i="23" s="1"/>
  <c r="F23" i="23"/>
  <c r="F51" i="23" s="1"/>
  <c r="E23" i="23"/>
  <c r="E51" i="23" s="1"/>
  <c r="D23" i="23"/>
  <c r="D51" i="23" s="1"/>
  <c r="C23" i="23"/>
  <c r="B23" i="23"/>
  <c r="B51" i="23" s="1"/>
  <c r="H77" i="22"/>
  <c r="K74" i="22"/>
  <c r="J74" i="22"/>
  <c r="H74" i="22"/>
  <c r="K71" i="22"/>
  <c r="J70" i="22"/>
  <c r="I70" i="22"/>
  <c r="H70" i="22"/>
  <c r="I69" i="22"/>
  <c r="J66" i="22"/>
  <c r="I66" i="22"/>
  <c r="H66" i="22"/>
  <c r="J65" i="22"/>
  <c r="I65" i="22"/>
  <c r="H65" i="22"/>
  <c r="H64" i="22"/>
  <c r="K61" i="22"/>
  <c r="J61" i="22"/>
  <c r="I61" i="22"/>
  <c r="H61" i="22"/>
  <c r="K59" i="22"/>
  <c r="J59" i="22"/>
  <c r="I59" i="22"/>
  <c r="I74" i="22" s="1"/>
  <c r="H59" i="22"/>
  <c r="K58" i="22"/>
  <c r="K60" i="22" s="1"/>
  <c r="J58" i="22"/>
  <c r="J60" i="22" s="1"/>
  <c r="I58" i="22"/>
  <c r="H58" i="22"/>
  <c r="H60" i="22" s="1"/>
  <c r="E58" i="22"/>
  <c r="D58" i="22"/>
  <c r="J69" i="22" s="1"/>
  <c r="C58" i="22"/>
  <c r="B58" i="22"/>
  <c r="H69" i="22" s="1"/>
  <c r="K57" i="22"/>
  <c r="J57" i="22"/>
  <c r="I57" i="22"/>
  <c r="H57" i="22"/>
  <c r="E57" i="22"/>
  <c r="D57" i="22"/>
  <c r="C57" i="22"/>
  <c r="B57" i="22"/>
  <c r="K56" i="22"/>
  <c r="J56" i="22"/>
  <c r="I56" i="22"/>
  <c r="H56" i="22"/>
  <c r="E56" i="22"/>
  <c r="D56" i="22"/>
  <c r="C56" i="22"/>
  <c r="B56" i="22"/>
  <c r="K55" i="22"/>
  <c r="J55" i="22"/>
  <c r="I55" i="22"/>
  <c r="H55" i="22"/>
  <c r="E55" i="22"/>
  <c r="D55" i="22"/>
  <c r="C55" i="22"/>
  <c r="B55" i="22"/>
  <c r="K54" i="22"/>
  <c r="J54" i="22"/>
  <c r="I54" i="22"/>
  <c r="H54" i="22"/>
  <c r="E54" i="22"/>
  <c r="D54" i="22"/>
  <c r="C54" i="22"/>
  <c r="B54" i="22"/>
  <c r="K53" i="22"/>
  <c r="J53" i="22"/>
  <c r="I53" i="22"/>
  <c r="H53" i="22"/>
  <c r="E53" i="22"/>
  <c r="D53" i="22"/>
  <c r="C53" i="22"/>
  <c r="B53" i="22"/>
  <c r="K52" i="22"/>
  <c r="J52" i="22"/>
  <c r="J67" i="22" s="1"/>
  <c r="I52" i="22"/>
  <c r="I67" i="22" s="1"/>
  <c r="H52" i="22"/>
  <c r="H67" i="22" s="1"/>
  <c r="E52" i="22"/>
  <c r="D52" i="22"/>
  <c r="C52" i="22"/>
  <c r="B52" i="22"/>
  <c r="N51" i="22"/>
  <c r="K51" i="22"/>
  <c r="J51" i="22"/>
  <c r="I64" i="22" s="1"/>
  <c r="I51" i="22"/>
  <c r="H51" i="22"/>
  <c r="B51" i="22"/>
  <c r="J50" i="22"/>
  <c r="I50" i="22"/>
  <c r="H50" i="22"/>
  <c r="Q49" i="22"/>
  <c r="Q48" i="22"/>
  <c r="N48" i="22"/>
  <c r="Q47" i="22"/>
  <c r="Q46" i="22"/>
  <c r="P46" i="22"/>
  <c r="N46" i="22"/>
  <c r="K46" i="22"/>
  <c r="J46" i="22"/>
  <c r="I46" i="22"/>
  <c r="H46" i="22"/>
  <c r="Q45" i="22"/>
  <c r="P45" i="22"/>
  <c r="N45" i="22"/>
  <c r="K45" i="22"/>
  <c r="J45" i="22"/>
  <c r="I45" i="22"/>
  <c r="H45" i="22"/>
  <c r="Q44" i="22"/>
  <c r="P44" i="22"/>
  <c r="N44" i="22"/>
  <c r="K44" i="22"/>
  <c r="J44" i="22"/>
  <c r="I44" i="22"/>
  <c r="H44" i="22"/>
  <c r="Q43" i="22"/>
  <c r="P43" i="22"/>
  <c r="N43" i="22"/>
  <c r="K43" i="22"/>
  <c r="J43" i="22"/>
  <c r="I43" i="22"/>
  <c r="H43" i="22"/>
  <c r="Q42" i="22"/>
  <c r="P42" i="22"/>
  <c r="O42" i="22"/>
  <c r="N42" i="22"/>
  <c r="K42" i="22"/>
  <c r="J42" i="22"/>
  <c r="I42" i="22"/>
  <c r="H42" i="22"/>
  <c r="Q41" i="22"/>
  <c r="P41" i="22"/>
  <c r="O41" i="22"/>
  <c r="N41" i="22"/>
  <c r="K41" i="22"/>
  <c r="J41" i="22"/>
  <c r="I41" i="22"/>
  <c r="H41" i="22"/>
  <c r="E41" i="22"/>
  <c r="D41" i="22"/>
  <c r="C41" i="22"/>
  <c r="B41" i="22"/>
  <c r="Q40" i="22"/>
  <c r="P40" i="22"/>
  <c r="O40" i="22"/>
  <c r="N40" i="22"/>
  <c r="K40" i="22"/>
  <c r="J40" i="22"/>
  <c r="I40" i="22"/>
  <c r="H40" i="22"/>
  <c r="E40" i="22"/>
  <c r="D40" i="22"/>
  <c r="C40" i="22"/>
  <c r="B40" i="22"/>
  <c r="Q39" i="22"/>
  <c r="P39" i="22"/>
  <c r="O39" i="22"/>
  <c r="N39" i="22"/>
  <c r="K39" i="22"/>
  <c r="J39" i="22"/>
  <c r="I39" i="22"/>
  <c r="H39" i="22"/>
  <c r="E39" i="22"/>
  <c r="D39" i="22"/>
  <c r="C39" i="22"/>
  <c r="B39" i="22"/>
  <c r="Q38" i="22"/>
  <c r="P38" i="22"/>
  <c r="O38" i="22"/>
  <c r="N38" i="22"/>
  <c r="K38" i="22"/>
  <c r="J38" i="22"/>
  <c r="I38" i="22"/>
  <c r="H38" i="22"/>
  <c r="E38" i="22"/>
  <c r="D38" i="22"/>
  <c r="C38" i="22"/>
  <c r="B38" i="22"/>
  <c r="Q37" i="22"/>
  <c r="P37" i="22"/>
  <c r="O37" i="22"/>
  <c r="N37" i="22"/>
  <c r="K37" i="22"/>
  <c r="J37" i="22"/>
  <c r="I37" i="22"/>
  <c r="H37" i="22"/>
  <c r="E37" i="22"/>
  <c r="D37" i="22"/>
  <c r="C37" i="22"/>
  <c r="B37" i="22"/>
  <c r="Q36" i="22"/>
  <c r="P36" i="22"/>
  <c r="O36" i="22"/>
  <c r="N36" i="22"/>
  <c r="K36" i="22"/>
  <c r="J36" i="22"/>
  <c r="I36" i="22"/>
  <c r="H36" i="22"/>
  <c r="E36" i="22"/>
  <c r="D36" i="22"/>
  <c r="C36" i="22"/>
  <c r="B36" i="22"/>
  <c r="Q35" i="22"/>
  <c r="P35" i="22"/>
  <c r="O35" i="22"/>
  <c r="N35" i="22"/>
  <c r="K35" i="22"/>
  <c r="J35" i="22"/>
  <c r="I35" i="22"/>
  <c r="H35" i="22"/>
  <c r="E35" i="22"/>
  <c r="D35" i="22"/>
  <c r="C35" i="22"/>
  <c r="B35" i="22"/>
  <c r="Q34" i="22"/>
  <c r="P34" i="22"/>
  <c r="O34" i="22"/>
  <c r="N34" i="22"/>
  <c r="K34" i="22"/>
  <c r="J34" i="22"/>
  <c r="I34" i="22"/>
  <c r="H34" i="22"/>
  <c r="E34" i="22"/>
  <c r="D34" i="22"/>
  <c r="C34" i="22"/>
  <c r="B34" i="22"/>
  <c r="Q33" i="22"/>
  <c r="P33" i="22"/>
  <c r="O33" i="22"/>
  <c r="N33" i="22"/>
  <c r="K33" i="22"/>
  <c r="J33" i="22"/>
  <c r="I33" i="22"/>
  <c r="H33" i="22"/>
  <c r="E33" i="22"/>
  <c r="D33" i="22"/>
  <c r="C33" i="22"/>
  <c r="B33" i="22"/>
  <c r="Q32" i="22"/>
  <c r="P32" i="22"/>
  <c r="O32" i="22"/>
  <c r="N32" i="22"/>
  <c r="K32" i="22"/>
  <c r="J32" i="22"/>
  <c r="I32" i="22"/>
  <c r="H32" i="22"/>
  <c r="E32" i="22"/>
  <c r="D32" i="22"/>
  <c r="C32" i="22"/>
  <c r="B32" i="22"/>
  <c r="Q31" i="22"/>
  <c r="P31" i="22"/>
  <c r="O31" i="22"/>
  <c r="N31" i="22"/>
  <c r="K31" i="22"/>
  <c r="J31" i="22"/>
  <c r="I31" i="22"/>
  <c r="H31" i="22"/>
  <c r="E31" i="22"/>
  <c r="D31" i="22"/>
  <c r="C31" i="22"/>
  <c r="B31" i="22"/>
  <c r="Q30" i="22"/>
  <c r="P30" i="22"/>
  <c r="O30" i="22"/>
  <c r="N30" i="22"/>
  <c r="K30" i="22"/>
  <c r="J30" i="22"/>
  <c r="I30" i="22"/>
  <c r="H30" i="22"/>
  <c r="E30" i="22"/>
  <c r="D30" i="22"/>
  <c r="C30" i="22"/>
  <c r="B30" i="22"/>
  <c r="P27" i="22"/>
  <c r="Q26" i="22"/>
  <c r="P26" i="22"/>
  <c r="O26" i="22"/>
  <c r="N26" i="22"/>
  <c r="Q25" i="22"/>
  <c r="Q27" i="22" s="1"/>
  <c r="P25" i="22"/>
  <c r="O25" i="22"/>
  <c r="N25" i="22"/>
  <c r="N27" i="22" s="1"/>
  <c r="B25" i="22"/>
  <c r="Q24" i="22"/>
  <c r="Q51" i="22" s="1"/>
  <c r="P24" i="22"/>
  <c r="J71" i="22" s="1"/>
  <c r="O24" i="22"/>
  <c r="N24" i="22"/>
  <c r="E23" i="22"/>
  <c r="E51" i="22" s="1"/>
  <c r="D23" i="22"/>
  <c r="D51" i="22" s="1"/>
  <c r="C23" i="22"/>
  <c r="C51" i="22" s="1"/>
  <c r="B23" i="22"/>
  <c r="B6" i="22"/>
  <c r="J77" i="22" s="1"/>
  <c r="M71" i="21"/>
  <c r="L70" i="21"/>
  <c r="K70" i="21"/>
  <c r="J70" i="21"/>
  <c r="L66" i="21"/>
  <c r="K66" i="21"/>
  <c r="J66" i="21"/>
  <c r="L65" i="21"/>
  <c r="K65" i="21"/>
  <c r="J65" i="21"/>
  <c r="F58" i="21"/>
  <c r="E58" i="21"/>
  <c r="L69" i="21" s="1"/>
  <c r="D58" i="21"/>
  <c r="K69" i="21" s="1"/>
  <c r="C58" i="21"/>
  <c r="J69" i="21" s="1"/>
  <c r="B58" i="21"/>
  <c r="F57" i="21"/>
  <c r="E57" i="21"/>
  <c r="D57" i="21"/>
  <c r="C57" i="21"/>
  <c r="B57" i="21"/>
  <c r="M56" i="21"/>
  <c r="L56" i="21"/>
  <c r="K56" i="21"/>
  <c r="J56" i="21"/>
  <c r="I56" i="21"/>
  <c r="F56" i="21"/>
  <c r="E56" i="21"/>
  <c r="D56" i="21"/>
  <c r="C56" i="21"/>
  <c r="B56" i="21"/>
  <c r="M55" i="21"/>
  <c r="L55" i="21"/>
  <c r="K55" i="21"/>
  <c r="J55" i="21"/>
  <c r="I55" i="21"/>
  <c r="F55" i="21"/>
  <c r="E55" i="21"/>
  <c r="D55" i="21"/>
  <c r="C55" i="21"/>
  <c r="B55" i="21"/>
  <c r="M54" i="21"/>
  <c r="L54" i="21"/>
  <c r="K54" i="21"/>
  <c r="J54" i="21"/>
  <c r="I54" i="21"/>
  <c r="F54" i="21"/>
  <c r="E54" i="21"/>
  <c r="D54" i="21"/>
  <c r="C54" i="21"/>
  <c r="B54" i="21"/>
  <c r="M53" i="21"/>
  <c r="L53" i="21"/>
  <c r="K53" i="21"/>
  <c r="J53" i="21"/>
  <c r="I53" i="21"/>
  <c r="F53" i="21"/>
  <c r="E53" i="21"/>
  <c r="D53" i="21"/>
  <c r="C53" i="21"/>
  <c r="B53" i="21"/>
  <c r="M52" i="21"/>
  <c r="L52" i="21"/>
  <c r="L67" i="21" s="1"/>
  <c r="K52" i="21"/>
  <c r="J52" i="21"/>
  <c r="J67" i="21" s="1"/>
  <c r="I52" i="21"/>
  <c r="F52" i="21"/>
  <c r="E52" i="21"/>
  <c r="D52" i="21"/>
  <c r="C52" i="21"/>
  <c r="B52" i="21"/>
  <c r="M51" i="21"/>
  <c r="L64" i="21" s="1"/>
  <c r="L51" i="21"/>
  <c r="K51" i="21"/>
  <c r="J51" i="21"/>
  <c r="I51" i="21"/>
  <c r="F51" i="21"/>
  <c r="E51" i="21"/>
  <c r="D51" i="21"/>
  <c r="C51" i="21"/>
  <c r="B51" i="21"/>
  <c r="L50" i="21"/>
  <c r="K50" i="21"/>
  <c r="J50" i="21"/>
  <c r="I50" i="21"/>
  <c r="R49" i="21"/>
  <c r="P49" i="21"/>
  <c r="T47" i="21"/>
  <c r="R47" i="21"/>
  <c r="P47" i="21"/>
  <c r="R46" i="21"/>
  <c r="M46" i="21"/>
  <c r="L46" i="21"/>
  <c r="K46" i="21"/>
  <c r="J46" i="21"/>
  <c r="I46" i="21"/>
  <c r="S45" i="21"/>
  <c r="M45" i="21"/>
  <c r="L45" i="21"/>
  <c r="K45" i="21"/>
  <c r="J45" i="21"/>
  <c r="I45" i="21"/>
  <c r="R44" i="21"/>
  <c r="M44" i="21"/>
  <c r="L44" i="21"/>
  <c r="K44" i="21"/>
  <c r="J44" i="21"/>
  <c r="I44" i="21"/>
  <c r="M43" i="21"/>
  <c r="L43" i="21"/>
  <c r="K43" i="21"/>
  <c r="J43" i="21"/>
  <c r="I43" i="21"/>
  <c r="T42" i="21"/>
  <c r="S42" i="21"/>
  <c r="R42" i="21"/>
  <c r="Q42" i="21"/>
  <c r="P42" i="21"/>
  <c r="M42" i="21"/>
  <c r="L42" i="21"/>
  <c r="K42" i="21"/>
  <c r="J42" i="21"/>
  <c r="I42" i="21"/>
  <c r="T41" i="21"/>
  <c r="S41" i="21"/>
  <c r="R41" i="21"/>
  <c r="Q41" i="21"/>
  <c r="P41" i="21"/>
  <c r="M41" i="21"/>
  <c r="L41" i="21"/>
  <c r="K41" i="21"/>
  <c r="J41" i="21"/>
  <c r="I41" i="21"/>
  <c r="F41" i="21"/>
  <c r="E41" i="21"/>
  <c r="D41" i="21"/>
  <c r="C41" i="21"/>
  <c r="B41" i="21"/>
  <c r="T40" i="21"/>
  <c r="S40" i="21"/>
  <c r="R40" i="21"/>
  <c r="Q40" i="21"/>
  <c r="P40" i="21"/>
  <c r="M40" i="21"/>
  <c r="L40" i="21"/>
  <c r="K40" i="21"/>
  <c r="J40" i="21"/>
  <c r="I40" i="21"/>
  <c r="F40" i="21"/>
  <c r="E40" i="21"/>
  <c r="D40" i="21"/>
  <c r="C40" i="21"/>
  <c r="B40" i="21"/>
  <c r="T39" i="21"/>
  <c r="S39" i="21"/>
  <c r="R39" i="21"/>
  <c r="Q39" i="21"/>
  <c r="P39" i="21"/>
  <c r="M39" i="21"/>
  <c r="L39" i="21"/>
  <c r="K39" i="21"/>
  <c r="J39" i="21"/>
  <c r="I39" i="21"/>
  <c r="F39" i="21"/>
  <c r="E39" i="21"/>
  <c r="D39" i="21"/>
  <c r="C39" i="21"/>
  <c r="B39" i="21"/>
  <c r="T38" i="21"/>
  <c r="S38" i="21"/>
  <c r="R38" i="21"/>
  <c r="Q38" i="21"/>
  <c r="P38" i="21"/>
  <c r="M38" i="21"/>
  <c r="L38" i="21"/>
  <c r="K38" i="21"/>
  <c r="J38" i="21"/>
  <c r="I38" i="21"/>
  <c r="F38" i="21"/>
  <c r="E38" i="21"/>
  <c r="D38" i="21"/>
  <c r="C38" i="21"/>
  <c r="B38" i="21"/>
  <c r="T37" i="21"/>
  <c r="S37" i="21"/>
  <c r="R37" i="21"/>
  <c r="Q37" i="21"/>
  <c r="P37" i="21"/>
  <c r="M37" i="21"/>
  <c r="L37" i="21"/>
  <c r="K37" i="21"/>
  <c r="J37" i="21"/>
  <c r="I37" i="21"/>
  <c r="F37" i="21"/>
  <c r="E37" i="21"/>
  <c r="D37" i="21"/>
  <c r="C37" i="21"/>
  <c r="B37" i="21"/>
  <c r="T36" i="21"/>
  <c r="S36" i="21"/>
  <c r="R36" i="21"/>
  <c r="Q36" i="21"/>
  <c r="P36" i="21"/>
  <c r="M36" i="21"/>
  <c r="L36" i="21"/>
  <c r="K36" i="21"/>
  <c r="J36" i="21"/>
  <c r="I36" i="21"/>
  <c r="F36" i="21"/>
  <c r="E36" i="21"/>
  <c r="D36" i="21"/>
  <c r="C36" i="21"/>
  <c r="B36" i="21"/>
  <c r="T35" i="21"/>
  <c r="S35" i="21"/>
  <c r="R35" i="21"/>
  <c r="Q35" i="21"/>
  <c r="P35" i="21"/>
  <c r="M35" i="21"/>
  <c r="L35" i="21"/>
  <c r="K35" i="21"/>
  <c r="J35" i="21"/>
  <c r="I35" i="21"/>
  <c r="F35" i="21"/>
  <c r="E35" i="21"/>
  <c r="D35" i="21"/>
  <c r="C35" i="21"/>
  <c r="B35" i="21"/>
  <c r="T34" i="21"/>
  <c r="S34" i="21"/>
  <c r="R34" i="21"/>
  <c r="Q34" i="21"/>
  <c r="P34" i="21"/>
  <c r="M34" i="21"/>
  <c r="L34" i="21"/>
  <c r="K34" i="21"/>
  <c r="J34" i="21"/>
  <c r="I34" i="21"/>
  <c r="F34" i="21"/>
  <c r="E34" i="21"/>
  <c r="D34" i="21"/>
  <c r="C34" i="21"/>
  <c r="B34" i="21"/>
  <c r="T33" i="21"/>
  <c r="S33" i="21"/>
  <c r="R33" i="21"/>
  <c r="Q33" i="21"/>
  <c r="P33" i="21"/>
  <c r="M33" i="21"/>
  <c r="L33" i="21"/>
  <c r="K33" i="21"/>
  <c r="J33" i="21"/>
  <c r="I33" i="21"/>
  <c r="F33" i="21"/>
  <c r="E33" i="21"/>
  <c r="D33" i="21"/>
  <c r="C33" i="21"/>
  <c r="B33" i="21"/>
  <c r="T32" i="21"/>
  <c r="S32" i="21"/>
  <c r="R32" i="21"/>
  <c r="Q32" i="21"/>
  <c r="P32" i="21"/>
  <c r="M32" i="21"/>
  <c r="L32" i="21"/>
  <c r="K32" i="21"/>
  <c r="J32" i="21"/>
  <c r="I32" i="21"/>
  <c r="F32" i="21"/>
  <c r="E32" i="21"/>
  <c r="D32" i="21"/>
  <c r="C32" i="21"/>
  <c r="B32" i="21"/>
  <c r="T31" i="21"/>
  <c r="S31" i="21"/>
  <c r="R31" i="21"/>
  <c r="Q31" i="21"/>
  <c r="P31" i="21"/>
  <c r="M31" i="21"/>
  <c r="L31" i="21"/>
  <c r="K31" i="21"/>
  <c r="J31" i="21"/>
  <c r="I31" i="21"/>
  <c r="F31" i="21"/>
  <c r="E31" i="21"/>
  <c r="D31" i="21"/>
  <c r="C31" i="21"/>
  <c r="B31" i="21"/>
  <c r="T30" i="21"/>
  <c r="S30" i="21"/>
  <c r="R30" i="21"/>
  <c r="Q30" i="21"/>
  <c r="P30" i="21"/>
  <c r="M30" i="21"/>
  <c r="L30" i="21"/>
  <c r="K30" i="21"/>
  <c r="J30" i="21"/>
  <c r="I30" i="21"/>
  <c r="F30" i="21"/>
  <c r="E30" i="21"/>
  <c r="D30" i="21"/>
  <c r="C30" i="21"/>
  <c r="B30" i="21"/>
  <c r="T28" i="21"/>
  <c r="S28" i="21"/>
  <c r="R28" i="21"/>
  <c r="Q28" i="21"/>
  <c r="P28" i="21"/>
  <c r="T27" i="21"/>
  <c r="R27" i="21"/>
  <c r="P27" i="21"/>
  <c r="T26" i="21"/>
  <c r="S26" i="21"/>
  <c r="R26" i="21"/>
  <c r="Q26" i="21"/>
  <c r="P26" i="21"/>
  <c r="T25" i="21"/>
  <c r="S25" i="21"/>
  <c r="R25" i="21"/>
  <c r="R51" i="21" s="1"/>
  <c r="Q25" i="21"/>
  <c r="P25" i="21"/>
  <c r="T24" i="21"/>
  <c r="T49" i="21" s="1"/>
  <c r="S24" i="21"/>
  <c r="S44" i="21" s="1"/>
  <c r="R24" i="21"/>
  <c r="R45" i="21" s="1"/>
  <c r="Q24" i="21"/>
  <c r="P24" i="21"/>
  <c r="P48" i="21" s="1"/>
  <c r="J9" i="21"/>
  <c r="F58" i="20"/>
  <c r="E58" i="20"/>
  <c r="D58" i="20"/>
  <c r="C58" i="20"/>
  <c r="B58" i="20"/>
  <c r="F57" i="20"/>
  <c r="E57" i="20"/>
  <c r="D57" i="20"/>
  <c r="C57" i="20"/>
  <c r="B57" i="20"/>
  <c r="M56" i="20"/>
  <c r="L56" i="20"/>
  <c r="K56" i="20"/>
  <c r="J56" i="20"/>
  <c r="I56" i="20"/>
  <c r="F56" i="20"/>
  <c r="E56" i="20"/>
  <c r="D56" i="20"/>
  <c r="C56" i="20"/>
  <c r="B56" i="20"/>
  <c r="M55" i="20"/>
  <c r="L55" i="20"/>
  <c r="K55" i="20"/>
  <c r="J55" i="20"/>
  <c r="I55" i="20"/>
  <c r="F55" i="20"/>
  <c r="E55" i="20"/>
  <c r="D55" i="20"/>
  <c r="C55" i="20"/>
  <c r="B55" i="20"/>
  <c r="M54" i="20"/>
  <c r="L54" i="20"/>
  <c r="K54" i="20"/>
  <c r="J54" i="20"/>
  <c r="I54" i="20"/>
  <c r="F54" i="20"/>
  <c r="E54" i="20"/>
  <c r="D54" i="20"/>
  <c r="C54" i="20"/>
  <c r="B54" i="20"/>
  <c r="M53" i="20"/>
  <c r="L53" i="20"/>
  <c r="K53" i="20"/>
  <c r="J53" i="20"/>
  <c r="I53" i="20"/>
  <c r="F53" i="20"/>
  <c r="E53" i="20"/>
  <c r="D53" i="20"/>
  <c r="C53" i="20"/>
  <c r="B53" i="20"/>
  <c r="M52" i="20"/>
  <c r="L52" i="20"/>
  <c r="K52" i="20"/>
  <c r="J52" i="20"/>
  <c r="I52" i="20"/>
  <c r="F52" i="20"/>
  <c r="E52" i="20"/>
  <c r="D52" i="20"/>
  <c r="C52" i="20"/>
  <c r="B52" i="20"/>
  <c r="T51" i="20"/>
  <c r="P51" i="20"/>
  <c r="M51" i="20"/>
  <c r="L51" i="20"/>
  <c r="K51" i="20"/>
  <c r="J51" i="20"/>
  <c r="I51" i="20"/>
  <c r="F51" i="20"/>
  <c r="E51" i="20"/>
  <c r="D51" i="20"/>
  <c r="C51" i="20"/>
  <c r="B51" i="20"/>
  <c r="L50" i="20"/>
  <c r="K50" i="20"/>
  <c r="J50" i="20"/>
  <c r="I50" i="20"/>
  <c r="T48" i="20"/>
  <c r="R48" i="20"/>
  <c r="P48" i="20"/>
  <c r="R47" i="20"/>
  <c r="Q47" i="20"/>
  <c r="T46" i="20"/>
  <c r="R46" i="20"/>
  <c r="M46" i="20"/>
  <c r="L46" i="20"/>
  <c r="K46" i="20"/>
  <c r="J46" i="20"/>
  <c r="I46" i="20"/>
  <c r="T45" i="20"/>
  <c r="P45" i="20"/>
  <c r="M45" i="20"/>
  <c r="L45" i="20"/>
  <c r="K45" i="20"/>
  <c r="J45" i="20"/>
  <c r="I45" i="20"/>
  <c r="R44" i="20"/>
  <c r="P44" i="20"/>
  <c r="M44" i="20"/>
  <c r="L44" i="20"/>
  <c r="K44" i="20"/>
  <c r="J44" i="20"/>
  <c r="I44" i="20"/>
  <c r="T43" i="20"/>
  <c r="R43" i="20"/>
  <c r="P43" i="20"/>
  <c r="M43" i="20"/>
  <c r="L43" i="20"/>
  <c r="K43" i="20"/>
  <c r="J43" i="20"/>
  <c r="I43" i="20"/>
  <c r="T42" i="20"/>
  <c r="S42" i="20"/>
  <c r="R42" i="20"/>
  <c r="Q42" i="20"/>
  <c r="P42" i="20"/>
  <c r="M42" i="20"/>
  <c r="L42" i="20"/>
  <c r="K42" i="20"/>
  <c r="J42" i="20"/>
  <c r="I42" i="20"/>
  <c r="T41" i="20"/>
  <c r="S41" i="20"/>
  <c r="R41" i="20"/>
  <c r="Q41" i="20"/>
  <c r="P41" i="20"/>
  <c r="M41" i="20"/>
  <c r="L41" i="20"/>
  <c r="K41" i="20"/>
  <c r="J41" i="20"/>
  <c r="I41" i="20"/>
  <c r="F41" i="20"/>
  <c r="E41" i="20"/>
  <c r="D41" i="20"/>
  <c r="C41" i="20"/>
  <c r="B41" i="20"/>
  <c r="T40" i="20"/>
  <c r="S40" i="20"/>
  <c r="R40" i="20"/>
  <c r="Q40" i="20"/>
  <c r="P40" i="20"/>
  <c r="M40" i="20"/>
  <c r="L40" i="20"/>
  <c r="K40" i="20"/>
  <c r="J40" i="20"/>
  <c r="I40" i="20"/>
  <c r="F40" i="20"/>
  <c r="E40" i="20"/>
  <c r="D40" i="20"/>
  <c r="C40" i="20"/>
  <c r="B40" i="20"/>
  <c r="T39" i="20"/>
  <c r="S39" i="20"/>
  <c r="R39" i="20"/>
  <c r="Q39" i="20"/>
  <c r="P39" i="20"/>
  <c r="M39" i="20"/>
  <c r="L39" i="20"/>
  <c r="K39" i="20"/>
  <c r="J39" i="20"/>
  <c r="I39" i="20"/>
  <c r="F39" i="20"/>
  <c r="E39" i="20"/>
  <c r="D39" i="20"/>
  <c r="C39" i="20"/>
  <c r="B39" i="20"/>
  <c r="T38" i="20"/>
  <c r="S38" i="20"/>
  <c r="R38" i="20"/>
  <c r="Q38" i="20"/>
  <c r="P38" i="20"/>
  <c r="M38" i="20"/>
  <c r="L38" i="20"/>
  <c r="K38" i="20"/>
  <c r="J38" i="20"/>
  <c r="I38" i="20"/>
  <c r="F38" i="20"/>
  <c r="E38" i="20"/>
  <c r="D38" i="20"/>
  <c r="C38" i="20"/>
  <c r="B38" i="20"/>
  <c r="T37" i="20"/>
  <c r="S37" i="20"/>
  <c r="R37" i="20"/>
  <c r="Q37" i="20"/>
  <c r="P37" i="20"/>
  <c r="M37" i="20"/>
  <c r="L37" i="20"/>
  <c r="K37" i="20"/>
  <c r="J37" i="20"/>
  <c r="I37" i="20"/>
  <c r="F37" i="20"/>
  <c r="E37" i="20"/>
  <c r="D37" i="20"/>
  <c r="C37" i="20"/>
  <c r="B37" i="20"/>
  <c r="T36" i="20"/>
  <c r="S36" i="20"/>
  <c r="R36" i="20"/>
  <c r="Q36" i="20"/>
  <c r="P36" i="20"/>
  <c r="M36" i="20"/>
  <c r="L36" i="20"/>
  <c r="K36" i="20"/>
  <c r="J36" i="20"/>
  <c r="I36" i="20"/>
  <c r="F36" i="20"/>
  <c r="E36" i="20"/>
  <c r="D36" i="20"/>
  <c r="C36" i="20"/>
  <c r="B36" i="20"/>
  <c r="T35" i="20"/>
  <c r="S35" i="20"/>
  <c r="R35" i="20"/>
  <c r="Q35" i="20"/>
  <c r="P35" i="20"/>
  <c r="M35" i="20"/>
  <c r="L35" i="20"/>
  <c r="K35" i="20"/>
  <c r="J35" i="20"/>
  <c r="I35" i="20"/>
  <c r="F35" i="20"/>
  <c r="E35" i="20"/>
  <c r="D35" i="20"/>
  <c r="C35" i="20"/>
  <c r="B35" i="20"/>
  <c r="T34" i="20"/>
  <c r="S34" i="20"/>
  <c r="R34" i="20"/>
  <c r="Q34" i="20"/>
  <c r="P34" i="20"/>
  <c r="M34" i="20"/>
  <c r="L34" i="20"/>
  <c r="K34" i="20"/>
  <c r="J34" i="20"/>
  <c r="I34" i="20"/>
  <c r="F34" i="20"/>
  <c r="E34" i="20"/>
  <c r="D34" i="20"/>
  <c r="C34" i="20"/>
  <c r="B34" i="20"/>
  <c r="T33" i="20"/>
  <c r="S33" i="20"/>
  <c r="R33" i="20"/>
  <c r="Q33" i="20"/>
  <c r="P33" i="20"/>
  <c r="M33" i="20"/>
  <c r="L33" i="20"/>
  <c r="K33" i="20"/>
  <c r="J33" i="20"/>
  <c r="I33" i="20"/>
  <c r="F33" i="20"/>
  <c r="E33" i="20"/>
  <c r="D33" i="20"/>
  <c r="C33" i="20"/>
  <c r="B33" i="20"/>
  <c r="T32" i="20"/>
  <c r="S32" i="20"/>
  <c r="R32" i="20"/>
  <c r="Q32" i="20"/>
  <c r="P32" i="20"/>
  <c r="M32" i="20"/>
  <c r="L32" i="20"/>
  <c r="K32" i="20"/>
  <c r="J32" i="20"/>
  <c r="I32" i="20"/>
  <c r="F32" i="20"/>
  <c r="E32" i="20"/>
  <c r="D32" i="20"/>
  <c r="C32" i="20"/>
  <c r="B32" i="20"/>
  <c r="T31" i="20"/>
  <c r="S31" i="20"/>
  <c r="R31" i="20"/>
  <c r="Q31" i="20"/>
  <c r="P31" i="20"/>
  <c r="M31" i="20"/>
  <c r="L31" i="20"/>
  <c r="K31" i="20"/>
  <c r="J31" i="20"/>
  <c r="I31" i="20"/>
  <c r="F31" i="20"/>
  <c r="E31" i="20"/>
  <c r="D31" i="20"/>
  <c r="C31" i="20"/>
  <c r="B31" i="20"/>
  <c r="T30" i="20"/>
  <c r="S30" i="20"/>
  <c r="R30" i="20"/>
  <c r="Q30" i="20"/>
  <c r="P30" i="20"/>
  <c r="M30" i="20"/>
  <c r="L30" i="20"/>
  <c r="K30" i="20"/>
  <c r="J30" i="20"/>
  <c r="I30" i="20"/>
  <c r="F30" i="20"/>
  <c r="E30" i="20"/>
  <c r="D30" i="20"/>
  <c r="C30" i="20"/>
  <c r="B30" i="20"/>
  <c r="P27" i="20"/>
  <c r="T26" i="20"/>
  <c r="S26" i="20"/>
  <c r="R26" i="20"/>
  <c r="Q26" i="20"/>
  <c r="P26" i="20"/>
  <c r="T25" i="20"/>
  <c r="T27" i="20" s="1"/>
  <c r="S25" i="20"/>
  <c r="R25" i="20"/>
  <c r="R51" i="20" s="1"/>
  <c r="Q25" i="20"/>
  <c r="P25" i="20"/>
  <c r="T24" i="20"/>
  <c r="T44" i="20" s="1"/>
  <c r="S24" i="20"/>
  <c r="R24" i="20"/>
  <c r="R45" i="20" s="1"/>
  <c r="Q24" i="20"/>
  <c r="P24" i="20"/>
  <c r="P46" i="20" s="1"/>
  <c r="J64" i="19"/>
  <c r="F58" i="19"/>
  <c r="E58" i="19"/>
  <c r="D58" i="19"/>
  <c r="C58" i="19"/>
  <c r="B58" i="19"/>
  <c r="F57" i="19"/>
  <c r="E57" i="19"/>
  <c r="D57" i="19"/>
  <c r="C57" i="19"/>
  <c r="B57" i="19"/>
  <c r="M56" i="19"/>
  <c r="L56" i="19"/>
  <c r="K56" i="19"/>
  <c r="J56" i="19"/>
  <c r="I56" i="19"/>
  <c r="F56" i="19"/>
  <c r="E56" i="19"/>
  <c r="D56" i="19"/>
  <c r="C56" i="19"/>
  <c r="B56" i="19"/>
  <c r="M55" i="19"/>
  <c r="L55" i="19"/>
  <c r="K55" i="19"/>
  <c r="J55" i="19"/>
  <c r="I55" i="19"/>
  <c r="F55" i="19"/>
  <c r="E55" i="19"/>
  <c r="D55" i="19"/>
  <c r="C55" i="19"/>
  <c r="B55" i="19"/>
  <c r="M54" i="19"/>
  <c r="L54" i="19"/>
  <c r="K54" i="19"/>
  <c r="J54" i="19"/>
  <c r="I54" i="19"/>
  <c r="F54" i="19"/>
  <c r="E54" i="19"/>
  <c r="D54" i="19"/>
  <c r="C54" i="19"/>
  <c r="B54" i="19"/>
  <c r="M53" i="19"/>
  <c r="L53" i="19"/>
  <c r="K53" i="19"/>
  <c r="J53" i="19"/>
  <c r="I53" i="19"/>
  <c r="F53" i="19"/>
  <c r="E53" i="19"/>
  <c r="D53" i="19"/>
  <c r="C53" i="19"/>
  <c r="B53" i="19"/>
  <c r="M52" i="19"/>
  <c r="L52" i="19"/>
  <c r="K52" i="19"/>
  <c r="J52" i="19"/>
  <c r="I52" i="19"/>
  <c r="F52" i="19"/>
  <c r="E52" i="19"/>
  <c r="D52" i="19"/>
  <c r="C52" i="19"/>
  <c r="B52" i="19"/>
  <c r="S51" i="19"/>
  <c r="R51" i="19"/>
  <c r="M51" i="19"/>
  <c r="L51" i="19"/>
  <c r="K51" i="19"/>
  <c r="J51" i="19"/>
  <c r="I51" i="19"/>
  <c r="F51" i="19"/>
  <c r="D51" i="19"/>
  <c r="C51" i="19"/>
  <c r="B51" i="19"/>
  <c r="L50" i="19"/>
  <c r="K50" i="19"/>
  <c r="J50" i="19"/>
  <c r="I50" i="19"/>
  <c r="S49" i="19"/>
  <c r="S48" i="19"/>
  <c r="R48" i="19"/>
  <c r="P48" i="19"/>
  <c r="T47" i="19"/>
  <c r="S47" i="19"/>
  <c r="P47" i="19"/>
  <c r="T46" i="19"/>
  <c r="R46" i="19"/>
  <c r="P46" i="19"/>
  <c r="M46" i="19"/>
  <c r="L46" i="19"/>
  <c r="K46" i="19"/>
  <c r="J46" i="19"/>
  <c r="I46" i="19"/>
  <c r="T45" i="19"/>
  <c r="S45" i="19"/>
  <c r="R45" i="19"/>
  <c r="M45" i="19"/>
  <c r="L45" i="19"/>
  <c r="K45" i="19"/>
  <c r="J45" i="19"/>
  <c r="I45" i="19"/>
  <c r="T44" i="19"/>
  <c r="P44" i="19"/>
  <c r="M44" i="19"/>
  <c r="L44" i="19"/>
  <c r="K44" i="19"/>
  <c r="J44" i="19"/>
  <c r="I44" i="19"/>
  <c r="S43" i="19"/>
  <c r="R43" i="19"/>
  <c r="P43" i="19"/>
  <c r="M43" i="19"/>
  <c r="L43" i="19"/>
  <c r="K43" i="19"/>
  <c r="J43" i="19"/>
  <c r="I43" i="19"/>
  <c r="T42" i="19"/>
  <c r="S42" i="19"/>
  <c r="R42" i="19"/>
  <c r="Q42" i="19"/>
  <c r="P42" i="19"/>
  <c r="M42" i="19"/>
  <c r="L42" i="19"/>
  <c r="K42" i="19"/>
  <c r="J42" i="19"/>
  <c r="I42" i="19"/>
  <c r="T41" i="19"/>
  <c r="S41" i="19"/>
  <c r="R41" i="19"/>
  <c r="Q41" i="19"/>
  <c r="P41" i="19"/>
  <c r="M41" i="19"/>
  <c r="L41" i="19"/>
  <c r="K41" i="19"/>
  <c r="J41" i="19"/>
  <c r="I41" i="19"/>
  <c r="F41" i="19"/>
  <c r="E41" i="19"/>
  <c r="D41" i="19"/>
  <c r="C41" i="19"/>
  <c r="B41" i="19"/>
  <c r="T40" i="19"/>
  <c r="S40" i="19"/>
  <c r="R40" i="19"/>
  <c r="Q40" i="19"/>
  <c r="P40" i="19"/>
  <c r="M40" i="19"/>
  <c r="L40" i="19"/>
  <c r="K40" i="19"/>
  <c r="J40" i="19"/>
  <c r="I40" i="19"/>
  <c r="F40" i="19"/>
  <c r="E40" i="19"/>
  <c r="D40" i="19"/>
  <c r="C40" i="19"/>
  <c r="B40" i="19"/>
  <c r="T39" i="19"/>
  <c r="S39" i="19"/>
  <c r="R39" i="19"/>
  <c r="Q39" i="19"/>
  <c r="P39" i="19"/>
  <c r="M39" i="19"/>
  <c r="L39" i="19"/>
  <c r="K39" i="19"/>
  <c r="J39" i="19"/>
  <c r="I39" i="19"/>
  <c r="F39" i="19"/>
  <c r="E39" i="19"/>
  <c r="D39" i="19"/>
  <c r="C39" i="19"/>
  <c r="B39" i="19"/>
  <c r="T38" i="19"/>
  <c r="S38" i="19"/>
  <c r="R38" i="19"/>
  <c r="Q38" i="19"/>
  <c r="P38" i="19"/>
  <c r="M38" i="19"/>
  <c r="L38" i="19"/>
  <c r="K38" i="19"/>
  <c r="J38" i="19"/>
  <c r="I38" i="19"/>
  <c r="F38" i="19"/>
  <c r="E38" i="19"/>
  <c r="D38" i="19"/>
  <c r="C38" i="19"/>
  <c r="B38" i="19"/>
  <c r="T37" i="19"/>
  <c r="S37" i="19"/>
  <c r="R37" i="19"/>
  <c r="Q37" i="19"/>
  <c r="P37" i="19"/>
  <c r="M37" i="19"/>
  <c r="L37" i="19"/>
  <c r="K37" i="19"/>
  <c r="J37" i="19"/>
  <c r="I37" i="19"/>
  <c r="F37" i="19"/>
  <c r="E37" i="19"/>
  <c r="D37" i="19"/>
  <c r="C37" i="19"/>
  <c r="B37" i="19"/>
  <c r="T36" i="19"/>
  <c r="S36" i="19"/>
  <c r="R36" i="19"/>
  <c r="Q36" i="19"/>
  <c r="P36" i="19"/>
  <c r="M36" i="19"/>
  <c r="L36" i="19"/>
  <c r="K36" i="19"/>
  <c r="J36" i="19"/>
  <c r="I36" i="19"/>
  <c r="F36" i="19"/>
  <c r="E36" i="19"/>
  <c r="D36" i="19"/>
  <c r="C36" i="19"/>
  <c r="B36" i="19"/>
  <c r="T35" i="19"/>
  <c r="S35" i="19"/>
  <c r="R35" i="19"/>
  <c r="Q35" i="19"/>
  <c r="P35" i="19"/>
  <c r="M35" i="19"/>
  <c r="L35" i="19"/>
  <c r="K35" i="19"/>
  <c r="J35" i="19"/>
  <c r="I35" i="19"/>
  <c r="F35" i="19"/>
  <c r="E35" i="19"/>
  <c r="D35" i="19"/>
  <c r="C35" i="19"/>
  <c r="B35" i="19"/>
  <c r="T34" i="19"/>
  <c r="S34" i="19"/>
  <c r="R34" i="19"/>
  <c r="Q34" i="19"/>
  <c r="P34" i="19"/>
  <c r="M34" i="19"/>
  <c r="L34" i="19"/>
  <c r="K34" i="19"/>
  <c r="J34" i="19"/>
  <c r="I34" i="19"/>
  <c r="F34" i="19"/>
  <c r="E34" i="19"/>
  <c r="D34" i="19"/>
  <c r="C34" i="19"/>
  <c r="B34" i="19"/>
  <c r="T33" i="19"/>
  <c r="S33" i="19"/>
  <c r="R33" i="19"/>
  <c r="Q33" i="19"/>
  <c r="P33" i="19"/>
  <c r="M33" i="19"/>
  <c r="L33" i="19"/>
  <c r="K33" i="19"/>
  <c r="J33" i="19"/>
  <c r="I33" i="19"/>
  <c r="F33" i="19"/>
  <c r="E33" i="19"/>
  <c r="D33" i="19"/>
  <c r="C33" i="19"/>
  <c r="B33" i="19"/>
  <c r="T32" i="19"/>
  <c r="S32" i="19"/>
  <c r="R32" i="19"/>
  <c r="Q32" i="19"/>
  <c r="P32" i="19"/>
  <c r="M32" i="19"/>
  <c r="L32" i="19"/>
  <c r="K32" i="19"/>
  <c r="J32" i="19"/>
  <c r="I32" i="19"/>
  <c r="F32" i="19"/>
  <c r="E32" i="19"/>
  <c r="D32" i="19"/>
  <c r="C32" i="19"/>
  <c r="B32" i="19"/>
  <c r="T31" i="19"/>
  <c r="S31" i="19"/>
  <c r="R31" i="19"/>
  <c r="Q31" i="19"/>
  <c r="P31" i="19"/>
  <c r="M31" i="19"/>
  <c r="L31" i="19"/>
  <c r="K31" i="19"/>
  <c r="J31" i="19"/>
  <c r="I31" i="19"/>
  <c r="F31" i="19"/>
  <c r="E31" i="19"/>
  <c r="D31" i="19"/>
  <c r="C31" i="19"/>
  <c r="B31" i="19"/>
  <c r="T30" i="19"/>
  <c r="S30" i="19"/>
  <c r="R30" i="19"/>
  <c r="Q30" i="19"/>
  <c r="P30" i="19"/>
  <c r="M30" i="19"/>
  <c r="L30" i="19"/>
  <c r="K30" i="19"/>
  <c r="J30" i="19"/>
  <c r="I30" i="19"/>
  <c r="F30" i="19"/>
  <c r="E30" i="19"/>
  <c r="D30" i="19"/>
  <c r="C30" i="19"/>
  <c r="B30" i="19"/>
  <c r="R27" i="19"/>
  <c r="T26" i="19"/>
  <c r="S26" i="19"/>
  <c r="S27" i="19" s="1"/>
  <c r="R26" i="19"/>
  <c r="Q26" i="19"/>
  <c r="P26" i="19"/>
  <c r="T25" i="19"/>
  <c r="S25" i="19"/>
  <c r="R25" i="19"/>
  <c r="Q25" i="19"/>
  <c r="P25" i="19"/>
  <c r="P51" i="19" s="1"/>
  <c r="T24" i="19"/>
  <c r="S24" i="19"/>
  <c r="S46" i="19" s="1"/>
  <c r="R24" i="19"/>
  <c r="R44" i="19" s="1"/>
  <c r="Q24" i="19"/>
  <c r="Q49" i="19" s="1"/>
  <c r="P24" i="19"/>
  <c r="P45" i="19" s="1"/>
  <c r="F23" i="19"/>
  <c r="E23" i="19"/>
  <c r="E51" i="19" s="1"/>
  <c r="D23" i="19"/>
  <c r="C23" i="19"/>
  <c r="B23" i="19"/>
  <c r="J77" i="18"/>
  <c r="J74" i="18"/>
  <c r="H74" i="18"/>
  <c r="H64" i="18"/>
  <c r="K61" i="18"/>
  <c r="I60" i="18"/>
  <c r="K59" i="18"/>
  <c r="K74" i="18" s="1"/>
  <c r="J59" i="18"/>
  <c r="I59" i="18"/>
  <c r="I74" i="18" s="1"/>
  <c r="H59" i="18"/>
  <c r="K58" i="18"/>
  <c r="K60" i="18" s="1"/>
  <c r="J58" i="18"/>
  <c r="J60" i="18" s="1"/>
  <c r="I58" i="18"/>
  <c r="I61" i="18" s="1"/>
  <c r="H58" i="18"/>
  <c r="H61" i="18" s="1"/>
  <c r="E58" i="18"/>
  <c r="D58" i="18"/>
  <c r="C58" i="18"/>
  <c r="B58" i="18"/>
  <c r="K57" i="18"/>
  <c r="J57" i="18"/>
  <c r="I57" i="18"/>
  <c r="H57" i="18"/>
  <c r="E57" i="18"/>
  <c r="D57" i="18"/>
  <c r="C57" i="18"/>
  <c r="B57" i="18"/>
  <c r="K56" i="18"/>
  <c r="J56" i="18"/>
  <c r="I56" i="18"/>
  <c r="H56" i="18"/>
  <c r="E56" i="18"/>
  <c r="D56" i="18"/>
  <c r="C56" i="18"/>
  <c r="B56" i="18"/>
  <c r="K55" i="18"/>
  <c r="J55" i="18"/>
  <c r="I55" i="18"/>
  <c r="H55" i="18"/>
  <c r="E55" i="18"/>
  <c r="D55" i="18"/>
  <c r="C55" i="18"/>
  <c r="B55" i="18"/>
  <c r="K54" i="18"/>
  <c r="J54" i="18"/>
  <c r="I54" i="18"/>
  <c r="H54" i="18"/>
  <c r="E54" i="18"/>
  <c r="D54" i="18"/>
  <c r="C54" i="18"/>
  <c r="B54" i="18"/>
  <c r="K53" i="18"/>
  <c r="J53" i="18"/>
  <c r="I53" i="18"/>
  <c r="H53" i="18"/>
  <c r="E53" i="18"/>
  <c r="D53" i="18"/>
  <c r="C53" i="18"/>
  <c r="B53" i="18"/>
  <c r="K52" i="18"/>
  <c r="J52" i="18"/>
  <c r="I52" i="18"/>
  <c r="H52" i="18"/>
  <c r="E52" i="18"/>
  <c r="D52" i="18"/>
  <c r="C52" i="18"/>
  <c r="B52" i="18"/>
  <c r="O51" i="18"/>
  <c r="K51" i="18"/>
  <c r="J51" i="18"/>
  <c r="I51" i="18"/>
  <c r="H51" i="18"/>
  <c r="E51" i="18"/>
  <c r="D51" i="18"/>
  <c r="C51" i="18"/>
  <c r="B51" i="18"/>
  <c r="J50" i="18"/>
  <c r="I50" i="18"/>
  <c r="H50" i="18"/>
  <c r="N49" i="18"/>
  <c r="Q48" i="18"/>
  <c r="P47" i="18"/>
  <c r="N47" i="18"/>
  <c r="K46" i="18"/>
  <c r="J46" i="18"/>
  <c r="I46" i="18"/>
  <c r="H46" i="18"/>
  <c r="Q45" i="18"/>
  <c r="K45" i="18"/>
  <c r="J45" i="18"/>
  <c r="I45" i="18"/>
  <c r="H45" i="18"/>
  <c r="K44" i="18"/>
  <c r="J44" i="18"/>
  <c r="I44" i="18"/>
  <c r="H44" i="18"/>
  <c r="P43" i="18"/>
  <c r="K43" i="18"/>
  <c r="J43" i="18"/>
  <c r="I43" i="18"/>
  <c r="H43" i="18"/>
  <c r="Q42" i="18"/>
  <c r="P42" i="18"/>
  <c r="O42" i="18"/>
  <c r="N42" i="18"/>
  <c r="K42" i="18"/>
  <c r="J42" i="18"/>
  <c r="I42" i="18"/>
  <c r="H42" i="18"/>
  <c r="Q41" i="18"/>
  <c r="P41" i="18"/>
  <c r="O41" i="18"/>
  <c r="N41" i="18"/>
  <c r="K41" i="18"/>
  <c r="J41" i="18"/>
  <c r="I41" i="18"/>
  <c r="H41" i="18"/>
  <c r="E41" i="18"/>
  <c r="D41" i="18"/>
  <c r="C41" i="18"/>
  <c r="B41" i="18"/>
  <c r="Q40" i="18"/>
  <c r="P40" i="18"/>
  <c r="O40" i="18"/>
  <c r="N40" i="18"/>
  <c r="K40" i="18"/>
  <c r="J40" i="18"/>
  <c r="I40" i="18"/>
  <c r="H40" i="18"/>
  <c r="E40" i="18"/>
  <c r="D40" i="18"/>
  <c r="C40" i="18"/>
  <c r="B40" i="18"/>
  <c r="Q39" i="18"/>
  <c r="P39" i="18"/>
  <c r="O39" i="18"/>
  <c r="N39" i="18"/>
  <c r="K39" i="18"/>
  <c r="J39" i="18"/>
  <c r="I39" i="18"/>
  <c r="H39" i="18"/>
  <c r="E39" i="18"/>
  <c r="D39" i="18"/>
  <c r="C39" i="18"/>
  <c r="B39" i="18"/>
  <c r="Q38" i="18"/>
  <c r="P38" i="18"/>
  <c r="O38" i="18"/>
  <c r="N38" i="18"/>
  <c r="K38" i="18"/>
  <c r="J38" i="18"/>
  <c r="I38" i="18"/>
  <c r="H38" i="18"/>
  <c r="E38" i="18"/>
  <c r="D38" i="18"/>
  <c r="C38" i="18"/>
  <c r="B38" i="18"/>
  <c r="Q37" i="18"/>
  <c r="P37" i="18"/>
  <c r="O37" i="18"/>
  <c r="N37" i="18"/>
  <c r="K37" i="18"/>
  <c r="J37" i="18"/>
  <c r="I37" i="18"/>
  <c r="H37" i="18"/>
  <c r="E37" i="18"/>
  <c r="D37" i="18"/>
  <c r="C37" i="18"/>
  <c r="B37" i="18"/>
  <c r="Q36" i="18"/>
  <c r="P36" i="18"/>
  <c r="O36" i="18"/>
  <c r="N36" i="18"/>
  <c r="K36" i="18"/>
  <c r="J36" i="18"/>
  <c r="I36" i="18"/>
  <c r="H36" i="18"/>
  <c r="E36" i="18"/>
  <c r="D36" i="18"/>
  <c r="C36" i="18"/>
  <c r="B36" i="18"/>
  <c r="Q35" i="18"/>
  <c r="P35" i="18"/>
  <c r="O35" i="18"/>
  <c r="N35" i="18"/>
  <c r="K35" i="18"/>
  <c r="J35" i="18"/>
  <c r="I35" i="18"/>
  <c r="H35" i="18"/>
  <c r="E35" i="18"/>
  <c r="D35" i="18"/>
  <c r="C35" i="18"/>
  <c r="B35" i="18"/>
  <c r="Q34" i="18"/>
  <c r="P34" i="18"/>
  <c r="O34" i="18"/>
  <c r="N34" i="18"/>
  <c r="K34" i="18"/>
  <c r="J34" i="18"/>
  <c r="I34" i="18"/>
  <c r="H34" i="18"/>
  <c r="E34" i="18"/>
  <c r="D34" i="18"/>
  <c r="C34" i="18"/>
  <c r="B34" i="18"/>
  <c r="Q33" i="18"/>
  <c r="P33" i="18"/>
  <c r="O33" i="18"/>
  <c r="N33" i="18"/>
  <c r="K33" i="18"/>
  <c r="J33" i="18"/>
  <c r="I33" i="18"/>
  <c r="H33" i="18"/>
  <c r="E33" i="18"/>
  <c r="D33" i="18"/>
  <c r="C33" i="18"/>
  <c r="B33" i="18"/>
  <c r="Q32" i="18"/>
  <c r="P32" i="18"/>
  <c r="O32" i="18"/>
  <c r="N32" i="18"/>
  <c r="K32" i="18"/>
  <c r="J32" i="18"/>
  <c r="I32" i="18"/>
  <c r="H32" i="18"/>
  <c r="E32" i="18"/>
  <c r="D32" i="18"/>
  <c r="C32" i="18"/>
  <c r="B32" i="18"/>
  <c r="Q31" i="18"/>
  <c r="P31" i="18"/>
  <c r="O31" i="18"/>
  <c r="N31" i="18"/>
  <c r="K31" i="18"/>
  <c r="J31" i="18"/>
  <c r="I31" i="18"/>
  <c r="H31" i="18"/>
  <c r="E31" i="18"/>
  <c r="D31" i="18"/>
  <c r="C31" i="18"/>
  <c r="B31" i="18"/>
  <c r="Q30" i="18"/>
  <c r="P30" i="18"/>
  <c r="O30" i="18"/>
  <c r="N30" i="18"/>
  <c r="K30" i="18"/>
  <c r="J30" i="18"/>
  <c r="I30" i="18"/>
  <c r="H30" i="18"/>
  <c r="E30" i="18"/>
  <c r="D30" i="18"/>
  <c r="C30" i="18"/>
  <c r="B30" i="18"/>
  <c r="Q26" i="18"/>
  <c r="P26" i="18"/>
  <c r="O26" i="18"/>
  <c r="N26" i="18"/>
  <c r="Q25" i="18"/>
  <c r="P25" i="18"/>
  <c r="O25" i="18"/>
  <c r="N25" i="18"/>
  <c r="Q24" i="18"/>
  <c r="Q51" i="18" s="1"/>
  <c r="P24" i="18"/>
  <c r="P45" i="18" s="1"/>
  <c r="O24" i="18"/>
  <c r="O49" i="18" s="1"/>
  <c r="N24" i="18"/>
  <c r="B6" i="18"/>
  <c r="F58" i="17"/>
  <c r="E58" i="17"/>
  <c r="D58" i="17"/>
  <c r="C58" i="17"/>
  <c r="B58" i="17"/>
  <c r="F57" i="17"/>
  <c r="E57" i="17"/>
  <c r="D57" i="17"/>
  <c r="C57" i="17"/>
  <c r="B57" i="17"/>
  <c r="M56" i="17"/>
  <c r="L56" i="17"/>
  <c r="K56" i="17"/>
  <c r="J56" i="17"/>
  <c r="I56" i="17"/>
  <c r="F56" i="17"/>
  <c r="E56" i="17"/>
  <c r="D56" i="17"/>
  <c r="C56" i="17"/>
  <c r="B56" i="17"/>
  <c r="M55" i="17"/>
  <c r="L55" i="17"/>
  <c r="K55" i="17"/>
  <c r="J55" i="17"/>
  <c r="I55" i="17"/>
  <c r="F55" i="17"/>
  <c r="E55" i="17"/>
  <c r="D55" i="17"/>
  <c r="C55" i="17"/>
  <c r="B55" i="17"/>
  <c r="M54" i="17"/>
  <c r="L54" i="17"/>
  <c r="K54" i="17"/>
  <c r="J54" i="17"/>
  <c r="I54" i="17"/>
  <c r="F54" i="17"/>
  <c r="E54" i="17"/>
  <c r="D54" i="17"/>
  <c r="C54" i="17"/>
  <c r="B54" i="17"/>
  <c r="M53" i="17"/>
  <c r="L53" i="17"/>
  <c r="K53" i="17"/>
  <c r="J53" i="17"/>
  <c r="I53" i="17"/>
  <c r="F53" i="17"/>
  <c r="E53" i="17"/>
  <c r="D53" i="17"/>
  <c r="C53" i="17"/>
  <c r="B53" i="17"/>
  <c r="M52" i="17"/>
  <c r="L52" i="17"/>
  <c r="K52" i="17"/>
  <c r="J52" i="17"/>
  <c r="I52" i="17"/>
  <c r="F52" i="17"/>
  <c r="E52" i="17"/>
  <c r="D52" i="17"/>
  <c r="C52" i="17"/>
  <c r="B52" i="17"/>
  <c r="Q51" i="17"/>
  <c r="M51" i="17"/>
  <c r="L51" i="17"/>
  <c r="K51" i="17"/>
  <c r="J51" i="17"/>
  <c r="I51" i="17"/>
  <c r="F51" i="17"/>
  <c r="E51" i="17"/>
  <c r="D51" i="17"/>
  <c r="C51" i="17"/>
  <c r="B51" i="17"/>
  <c r="L50" i="17"/>
  <c r="K50" i="17"/>
  <c r="J50" i="17"/>
  <c r="I50" i="17"/>
  <c r="T49" i="17"/>
  <c r="S49" i="17"/>
  <c r="P49" i="17"/>
  <c r="T48" i="17"/>
  <c r="P48" i="17"/>
  <c r="S47" i="17"/>
  <c r="R47" i="17"/>
  <c r="S46" i="17"/>
  <c r="R46" i="17"/>
  <c r="P46" i="17"/>
  <c r="M46" i="17"/>
  <c r="L46" i="17"/>
  <c r="K46" i="17"/>
  <c r="J46" i="17"/>
  <c r="I46" i="17"/>
  <c r="R45" i="17"/>
  <c r="Q45" i="17"/>
  <c r="M45" i="17"/>
  <c r="L45" i="17"/>
  <c r="K45" i="17"/>
  <c r="J45" i="17"/>
  <c r="I45" i="17"/>
  <c r="T44" i="17"/>
  <c r="S44" i="17"/>
  <c r="M44" i="17"/>
  <c r="L44" i="17"/>
  <c r="K44" i="17"/>
  <c r="J44" i="17"/>
  <c r="I44" i="17"/>
  <c r="T43" i="17"/>
  <c r="Q43" i="17"/>
  <c r="M43" i="17"/>
  <c r="L43" i="17"/>
  <c r="K43" i="17"/>
  <c r="J43" i="17"/>
  <c r="I43" i="17"/>
  <c r="T42" i="17"/>
  <c r="S42" i="17"/>
  <c r="R42" i="17"/>
  <c r="Q42" i="17"/>
  <c r="P42" i="17"/>
  <c r="M42" i="17"/>
  <c r="L42" i="17"/>
  <c r="K42" i="17"/>
  <c r="J42" i="17"/>
  <c r="I42" i="17"/>
  <c r="T41" i="17"/>
  <c r="S41" i="17"/>
  <c r="R41" i="17"/>
  <c r="Q41" i="17"/>
  <c r="P41" i="17"/>
  <c r="M41" i="17"/>
  <c r="L41" i="17"/>
  <c r="K41" i="17"/>
  <c r="J41" i="17"/>
  <c r="I41" i="17"/>
  <c r="F41" i="17"/>
  <c r="E41" i="17"/>
  <c r="D41" i="17"/>
  <c r="C41" i="17"/>
  <c r="B41" i="17"/>
  <c r="T40" i="17"/>
  <c r="S40" i="17"/>
  <c r="R40" i="17"/>
  <c r="Q40" i="17"/>
  <c r="P40" i="17"/>
  <c r="M40" i="17"/>
  <c r="L40" i="17"/>
  <c r="K40" i="17"/>
  <c r="J40" i="17"/>
  <c r="I40" i="17"/>
  <c r="F40" i="17"/>
  <c r="E40" i="17"/>
  <c r="D40" i="17"/>
  <c r="C40" i="17"/>
  <c r="B40" i="17"/>
  <c r="T39" i="17"/>
  <c r="S39" i="17"/>
  <c r="R39" i="17"/>
  <c r="Q39" i="17"/>
  <c r="P39" i="17"/>
  <c r="M39" i="17"/>
  <c r="L39" i="17"/>
  <c r="K39" i="17"/>
  <c r="J39" i="17"/>
  <c r="I39" i="17"/>
  <c r="F39" i="17"/>
  <c r="E39" i="17"/>
  <c r="D39" i="17"/>
  <c r="C39" i="17"/>
  <c r="B39" i="17"/>
  <c r="T38" i="17"/>
  <c r="S38" i="17"/>
  <c r="R38" i="17"/>
  <c r="Q38" i="17"/>
  <c r="P38" i="17"/>
  <c r="M38" i="17"/>
  <c r="L38" i="17"/>
  <c r="K38" i="17"/>
  <c r="J38" i="17"/>
  <c r="I38" i="17"/>
  <c r="F38" i="17"/>
  <c r="E38" i="17"/>
  <c r="D38" i="17"/>
  <c r="C38" i="17"/>
  <c r="B38" i="17"/>
  <c r="T37" i="17"/>
  <c r="S37" i="17"/>
  <c r="R37" i="17"/>
  <c r="Q37" i="17"/>
  <c r="P37" i="17"/>
  <c r="M37" i="17"/>
  <c r="L37" i="17"/>
  <c r="K37" i="17"/>
  <c r="J37" i="17"/>
  <c r="I37" i="17"/>
  <c r="F37" i="17"/>
  <c r="E37" i="17"/>
  <c r="D37" i="17"/>
  <c r="C37" i="17"/>
  <c r="B37" i="17"/>
  <c r="T36" i="17"/>
  <c r="S36" i="17"/>
  <c r="R36" i="17"/>
  <c r="Q36" i="17"/>
  <c r="P36" i="17"/>
  <c r="M36" i="17"/>
  <c r="L36" i="17"/>
  <c r="K36" i="17"/>
  <c r="J36" i="17"/>
  <c r="I36" i="17"/>
  <c r="F36" i="17"/>
  <c r="E36" i="17"/>
  <c r="D36" i="17"/>
  <c r="C36" i="17"/>
  <c r="B36" i="17"/>
  <c r="T35" i="17"/>
  <c r="S35" i="17"/>
  <c r="R35" i="17"/>
  <c r="Q35" i="17"/>
  <c r="P35" i="17"/>
  <c r="M35" i="17"/>
  <c r="L35" i="17"/>
  <c r="K35" i="17"/>
  <c r="J35" i="17"/>
  <c r="I35" i="17"/>
  <c r="F35" i="17"/>
  <c r="E35" i="17"/>
  <c r="D35" i="17"/>
  <c r="C35" i="17"/>
  <c r="B35" i="17"/>
  <c r="T34" i="17"/>
  <c r="S34" i="17"/>
  <c r="R34" i="17"/>
  <c r="Q34" i="17"/>
  <c r="P34" i="17"/>
  <c r="M34" i="17"/>
  <c r="L34" i="17"/>
  <c r="K34" i="17"/>
  <c r="J34" i="17"/>
  <c r="I34" i="17"/>
  <c r="F34" i="17"/>
  <c r="E34" i="17"/>
  <c r="D34" i="17"/>
  <c r="C34" i="17"/>
  <c r="B34" i="17"/>
  <c r="T33" i="17"/>
  <c r="S33" i="17"/>
  <c r="R33" i="17"/>
  <c r="Q33" i="17"/>
  <c r="P33" i="17"/>
  <c r="M33" i="17"/>
  <c r="L33" i="17"/>
  <c r="K33" i="17"/>
  <c r="J33" i="17"/>
  <c r="I33" i="17"/>
  <c r="F33" i="17"/>
  <c r="E33" i="17"/>
  <c r="D33" i="17"/>
  <c r="C33" i="17"/>
  <c r="B33" i="17"/>
  <c r="T32" i="17"/>
  <c r="S32" i="17"/>
  <c r="R32" i="17"/>
  <c r="Q32" i="17"/>
  <c r="P32" i="17"/>
  <c r="M32" i="17"/>
  <c r="L32" i="17"/>
  <c r="K32" i="17"/>
  <c r="J32" i="17"/>
  <c r="I32" i="17"/>
  <c r="F32" i="17"/>
  <c r="E32" i="17"/>
  <c r="D32" i="17"/>
  <c r="C32" i="17"/>
  <c r="B32" i="17"/>
  <c r="T31" i="17"/>
  <c r="S31" i="17"/>
  <c r="R31" i="17"/>
  <c r="Q31" i="17"/>
  <c r="P31" i="17"/>
  <c r="M31" i="17"/>
  <c r="L31" i="17"/>
  <c r="K31" i="17"/>
  <c r="J31" i="17"/>
  <c r="I31" i="17"/>
  <c r="F31" i="17"/>
  <c r="E31" i="17"/>
  <c r="D31" i="17"/>
  <c r="C31" i="17"/>
  <c r="B31" i="17"/>
  <c r="T30" i="17"/>
  <c r="S30" i="17"/>
  <c r="R30" i="17"/>
  <c r="Q30" i="17"/>
  <c r="P30" i="17"/>
  <c r="M30" i="17"/>
  <c r="L30" i="17"/>
  <c r="K30" i="17"/>
  <c r="J30" i="17"/>
  <c r="I30" i="17"/>
  <c r="F30" i="17"/>
  <c r="E30" i="17"/>
  <c r="D30" i="17"/>
  <c r="C30" i="17"/>
  <c r="B30" i="17"/>
  <c r="T28" i="17"/>
  <c r="S28" i="17"/>
  <c r="R28" i="17"/>
  <c r="Q28" i="17"/>
  <c r="P28" i="17"/>
  <c r="S27" i="17"/>
  <c r="R27" i="17"/>
  <c r="Q27" i="17"/>
  <c r="T26" i="17"/>
  <c r="S26" i="17"/>
  <c r="R26" i="17"/>
  <c r="Q26" i="17"/>
  <c r="P26" i="17"/>
  <c r="T25" i="17"/>
  <c r="S25" i="17"/>
  <c r="R25" i="17"/>
  <c r="Q25" i="17"/>
  <c r="P25" i="17"/>
  <c r="T24" i="17"/>
  <c r="S24" i="17"/>
  <c r="S45" i="17" s="1"/>
  <c r="R24" i="17"/>
  <c r="Q24" i="17"/>
  <c r="Q47" i="17" s="1"/>
  <c r="P24" i="17"/>
  <c r="P51" i="17" s="1"/>
  <c r="F58" i="16"/>
  <c r="E58" i="16"/>
  <c r="D58" i="16"/>
  <c r="C58" i="16"/>
  <c r="B58" i="16"/>
  <c r="F57" i="16"/>
  <c r="E57" i="16"/>
  <c r="D57" i="16"/>
  <c r="C57" i="16"/>
  <c r="B57" i="16"/>
  <c r="M56" i="16"/>
  <c r="L56" i="16"/>
  <c r="K56" i="16"/>
  <c r="J56" i="16"/>
  <c r="I56" i="16"/>
  <c r="F56" i="16"/>
  <c r="E56" i="16"/>
  <c r="D56" i="16"/>
  <c r="C56" i="16"/>
  <c r="B56" i="16"/>
  <c r="M55" i="16"/>
  <c r="L55" i="16"/>
  <c r="K55" i="16"/>
  <c r="J55" i="16"/>
  <c r="I55" i="16"/>
  <c r="F55" i="16"/>
  <c r="E55" i="16"/>
  <c r="D55" i="16"/>
  <c r="C55" i="16"/>
  <c r="B55" i="16"/>
  <c r="M54" i="16"/>
  <c r="L54" i="16"/>
  <c r="K54" i="16"/>
  <c r="J54" i="16"/>
  <c r="I54" i="16"/>
  <c r="F54" i="16"/>
  <c r="E54" i="16"/>
  <c r="D54" i="16"/>
  <c r="C54" i="16"/>
  <c r="B54" i="16"/>
  <c r="M53" i="16"/>
  <c r="L53" i="16"/>
  <c r="K53" i="16"/>
  <c r="J53" i="16"/>
  <c r="I53" i="16"/>
  <c r="F53" i="16"/>
  <c r="E53" i="16"/>
  <c r="D53" i="16"/>
  <c r="C53" i="16"/>
  <c r="B53" i="16"/>
  <c r="M52" i="16"/>
  <c r="L52" i="16"/>
  <c r="K52" i="16"/>
  <c r="J52" i="16"/>
  <c r="I52" i="16"/>
  <c r="F52" i="16"/>
  <c r="E52" i="16"/>
  <c r="D52" i="16"/>
  <c r="C52" i="16"/>
  <c r="B52" i="16"/>
  <c r="T51" i="16"/>
  <c r="M51" i="16"/>
  <c r="L51" i="16"/>
  <c r="K51" i="16"/>
  <c r="J51" i="16"/>
  <c r="I51" i="16"/>
  <c r="F51" i="16"/>
  <c r="E51" i="16"/>
  <c r="D51" i="16"/>
  <c r="C51" i="16"/>
  <c r="B51" i="16"/>
  <c r="L50" i="16"/>
  <c r="K50" i="16"/>
  <c r="J50" i="16"/>
  <c r="I50" i="16"/>
  <c r="T49" i="16"/>
  <c r="S49" i="16"/>
  <c r="P49" i="16"/>
  <c r="T48" i="16"/>
  <c r="P48" i="16"/>
  <c r="T46" i="16"/>
  <c r="S46" i="16"/>
  <c r="M46" i="16"/>
  <c r="L46" i="16"/>
  <c r="K46" i="16"/>
  <c r="J46" i="16"/>
  <c r="I46" i="16"/>
  <c r="T45" i="16"/>
  <c r="Q45" i="16"/>
  <c r="M45" i="16"/>
  <c r="L45" i="16"/>
  <c r="K45" i="16"/>
  <c r="J45" i="16"/>
  <c r="I45" i="16"/>
  <c r="S44" i="16"/>
  <c r="M44" i="16"/>
  <c r="L44" i="16"/>
  <c r="K44" i="16"/>
  <c r="J44" i="16"/>
  <c r="I44" i="16"/>
  <c r="T43" i="16"/>
  <c r="P43" i="16"/>
  <c r="M43" i="16"/>
  <c r="L43" i="16"/>
  <c r="K43" i="16"/>
  <c r="J43" i="16"/>
  <c r="I43" i="16"/>
  <c r="T42" i="16"/>
  <c r="S42" i="16"/>
  <c r="R42" i="16"/>
  <c r="Q42" i="16"/>
  <c r="P42" i="16"/>
  <c r="M42" i="16"/>
  <c r="L42" i="16"/>
  <c r="K42" i="16"/>
  <c r="J42" i="16"/>
  <c r="I42" i="16"/>
  <c r="T41" i="16"/>
  <c r="S41" i="16"/>
  <c r="R41" i="16"/>
  <c r="Q41" i="16"/>
  <c r="P41" i="16"/>
  <c r="M41" i="16"/>
  <c r="L41" i="16"/>
  <c r="K41" i="16"/>
  <c r="J41" i="16"/>
  <c r="I41" i="16"/>
  <c r="F41" i="16"/>
  <c r="E41" i="16"/>
  <c r="D41" i="16"/>
  <c r="C41" i="16"/>
  <c r="B41" i="16"/>
  <c r="T40" i="16"/>
  <c r="S40" i="16"/>
  <c r="R40" i="16"/>
  <c r="Q40" i="16"/>
  <c r="P40" i="16"/>
  <c r="M40" i="16"/>
  <c r="L40" i="16"/>
  <c r="K40" i="16"/>
  <c r="J40" i="16"/>
  <c r="I40" i="16"/>
  <c r="F40" i="16"/>
  <c r="E40" i="16"/>
  <c r="D40" i="16"/>
  <c r="C40" i="16"/>
  <c r="B40" i="16"/>
  <c r="T39" i="16"/>
  <c r="S39" i="16"/>
  <c r="R39" i="16"/>
  <c r="Q39" i="16"/>
  <c r="P39" i="16"/>
  <c r="M39" i="16"/>
  <c r="L39" i="16"/>
  <c r="K39" i="16"/>
  <c r="J39" i="16"/>
  <c r="I39" i="16"/>
  <c r="F39" i="16"/>
  <c r="E39" i="16"/>
  <c r="D39" i="16"/>
  <c r="C39" i="16"/>
  <c r="B39" i="16"/>
  <c r="T38" i="16"/>
  <c r="S38" i="16"/>
  <c r="R38" i="16"/>
  <c r="Q38" i="16"/>
  <c r="P38" i="16"/>
  <c r="M38" i="16"/>
  <c r="L38" i="16"/>
  <c r="K38" i="16"/>
  <c r="J38" i="16"/>
  <c r="I38" i="16"/>
  <c r="F38" i="16"/>
  <c r="E38" i="16"/>
  <c r="D38" i="16"/>
  <c r="C38" i="16"/>
  <c r="B38" i="16"/>
  <c r="T37" i="16"/>
  <c r="S37" i="16"/>
  <c r="R37" i="16"/>
  <c r="Q37" i="16"/>
  <c r="P37" i="16"/>
  <c r="M37" i="16"/>
  <c r="L37" i="16"/>
  <c r="K37" i="16"/>
  <c r="J37" i="16"/>
  <c r="I37" i="16"/>
  <c r="F37" i="16"/>
  <c r="E37" i="16"/>
  <c r="D37" i="16"/>
  <c r="C37" i="16"/>
  <c r="B37" i="16"/>
  <c r="T36" i="16"/>
  <c r="S36" i="16"/>
  <c r="R36" i="16"/>
  <c r="Q36" i="16"/>
  <c r="P36" i="16"/>
  <c r="M36" i="16"/>
  <c r="L36" i="16"/>
  <c r="K36" i="16"/>
  <c r="J36" i="16"/>
  <c r="I36" i="16"/>
  <c r="F36" i="16"/>
  <c r="E36" i="16"/>
  <c r="D36" i="16"/>
  <c r="C36" i="16"/>
  <c r="B36" i="16"/>
  <c r="T35" i="16"/>
  <c r="S35" i="16"/>
  <c r="R35" i="16"/>
  <c r="Q35" i="16"/>
  <c r="P35" i="16"/>
  <c r="M35" i="16"/>
  <c r="L35" i="16"/>
  <c r="K35" i="16"/>
  <c r="J35" i="16"/>
  <c r="I35" i="16"/>
  <c r="F35" i="16"/>
  <c r="E35" i="16"/>
  <c r="D35" i="16"/>
  <c r="C35" i="16"/>
  <c r="B35" i="16"/>
  <c r="T34" i="16"/>
  <c r="S34" i="16"/>
  <c r="R34" i="16"/>
  <c r="Q34" i="16"/>
  <c r="P34" i="16"/>
  <c r="M34" i="16"/>
  <c r="L34" i="16"/>
  <c r="K34" i="16"/>
  <c r="J34" i="16"/>
  <c r="I34" i="16"/>
  <c r="F34" i="16"/>
  <c r="E34" i="16"/>
  <c r="D34" i="16"/>
  <c r="C34" i="16"/>
  <c r="B34" i="16"/>
  <c r="T33" i="16"/>
  <c r="S33" i="16"/>
  <c r="R33" i="16"/>
  <c r="Q33" i="16"/>
  <c r="P33" i="16"/>
  <c r="M33" i="16"/>
  <c r="L33" i="16"/>
  <c r="K33" i="16"/>
  <c r="J33" i="16"/>
  <c r="I33" i="16"/>
  <c r="F33" i="16"/>
  <c r="E33" i="16"/>
  <c r="D33" i="16"/>
  <c r="C33" i="16"/>
  <c r="B33" i="16"/>
  <c r="T32" i="16"/>
  <c r="S32" i="16"/>
  <c r="R32" i="16"/>
  <c r="Q32" i="16"/>
  <c r="P32" i="16"/>
  <c r="M32" i="16"/>
  <c r="L32" i="16"/>
  <c r="K32" i="16"/>
  <c r="J32" i="16"/>
  <c r="I32" i="16"/>
  <c r="F32" i="16"/>
  <c r="E32" i="16"/>
  <c r="D32" i="16"/>
  <c r="C32" i="16"/>
  <c r="B32" i="16"/>
  <c r="T31" i="16"/>
  <c r="S31" i="16"/>
  <c r="R31" i="16"/>
  <c r="Q31" i="16"/>
  <c r="P31" i="16"/>
  <c r="M31" i="16"/>
  <c r="L31" i="16"/>
  <c r="K31" i="16"/>
  <c r="J31" i="16"/>
  <c r="I31" i="16"/>
  <c r="F31" i="16"/>
  <c r="E31" i="16"/>
  <c r="D31" i="16"/>
  <c r="C31" i="16"/>
  <c r="B31" i="16"/>
  <c r="T30" i="16"/>
  <c r="S30" i="16"/>
  <c r="R30" i="16"/>
  <c r="Q30" i="16"/>
  <c r="P30" i="16"/>
  <c r="M30" i="16"/>
  <c r="L30" i="16"/>
  <c r="K30" i="16"/>
  <c r="J30" i="16"/>
  <c r="I30" i="16"/>
  <c r="F30" i="16"/>
  <c r="E30" i="16"/>
  <c r="D30" i="16"/>
  <c r="C30" i="16"/>
  <c r="B30" i="16"/>
  <c r="T26" i="16"/>
  <c r="S26" i="16"/>
  <c r="S27" i="16" s="1"/>
  <c r="R26" i="16"/>
  <c r="Q26" i="16"/>
  <c r="P26" i="16"/>
  <c r="T25" i="16"/>
  <c r="T27" i="16" s="1"/>
  <c r="S25" i="16"/>
  <c r="R25" i="16"/>
  <c r="Q25" i="16"/>
  <c r="P25" i="16"/>
  <c r="T24" i="16"/>
  <c r="S24" i="16"/>
  <c r="R24" i="16"/>
  <c r="R43" i="16" s="1"/>
  <c r="Q24" i="16"/>
  <c r="P24" i="16"/>
  <c r="I77" i="15"/>
  <c r="J74" i="15"/>
  <c r="I74" i="15"/>
  <c r="H64" i="15"/>
  <c r="K60" i="15"/>
  <c r="J60" i="15"/>
  <c r="K59" i="15"/>
  <c r="K74" i="15" s="1"/>
  <c r="J59" i="15"/>
  <c r="I59" i="15"/>
  <c r="H59" i="15"/>
  <c r="H74" i="15" s="1"/>
  <c r="K58" i="15"/>
  <c r="K61" i="15" s="1"/>
  <c r="J58" i="15"/>
  <c r="J61" i="15" s="1"/>
  <c r="I58" i="15"/>
  <c r="I61" i="15" s="1"/>
  <c r="H58" i="15"/>
  <c r="H60" i="15" s="1"/>
  <c r="E58" i="15"/>
  <c r="D58" i="15"/>
  <c r="C58" i="15"/>
  <c r="B58" i="15"/>
  <c r="K57" i="15"/>
  <c r="J57" i="15"/>
  <c r="I57" i="15"/>
  <c r="H57" i="15"/>
  <c r="E57" i="15"/>
  <c r="D57" i="15"/>
  <c r="C57" i="15"/>
  <c r="B57" i="15"/>
  <c r="K56" i="15"/>
  <c r="J56" i="15"/>
  <c r="I56" i="15"/>
  <c r="H56" i="15"/>
  <c r="E56" i="15"/>
  <c r="D56" i="15"/>
  <c r="C56" i="15"/>
  <c r="B56" i="15"/>
  <c r="K55" i="15"/>
  <c r="J55" i="15"/>
  <c r="I55" i="15"/>
  <c r="H55" i="15"/>
  <c r="E55" i="15"/>
  <c r="D55" i="15"/>
  <c r="C55" i="15"/>
  <c r="B55" i="15"/>
  <c r="K54" i="15"/>
  <c r="J54" i="15"/>
  <c r="I54" i="15"/>
  <c r="H54" i="15"/>
  <c r="E54" i="15"/>
  <c r="D54" i="15"/>
  <c r="C54" i="15"/>
  <c r="B54" i="15"/>
  <c r="K53" i="15"/>
  <c r="J53" i="15"/>
  <c r="I53" i="15"/>
  <c r="H53" i="15"/>
  <c r="E53" i="15"/>
  <c r="D53" i="15"/>
  <c r="C53" i="15"/>
  <c r="B53" i="15"/>
  <c r="K52" i="15"/>
  <c r="J52" i="15"/>
  <c r="I52" i="15"/>
  <c r="H52" i="15"/>
  <c r="E52" i="15"/>
  <c r="D52" i="15"/>
  <c r="C52" i="15"/>
  <c r="B52" i="15"/>
  <c r="Q51" i="15"/>
  <c r="N51" i="15"/>
  <c r="K51" i="15"/>
  <c r="J51" i="15"/>
  <c r="I51" i="15"/>
  <c r="H51" i="15"/>
  <c r="E51" i="15"/>
  <c r="D51" i="15"/>
  <c r="C51" i="15"/>
  <c r="B51" i="15"/>
  <c r="J50" i="15"/>
  <c r="I50" i="15"/>
  <c r="H50" i="15"/>
  <c r="O49" i="15"/>
  <c r="Q48" i="15"/>
  <c r="Q46" i="15"/>
  <c r="K46" i="15"/>
  <c r="J46" i="15"/>
  <c r="I46" i="15"/>
  <c r="H46" i="15"/>
  <c r="Q45" i="15"/>
  <c r="K45" i="15"/>
  <c r="J45" i="15"/>
  <c r="I45" i="15"/>
  <c r="H45" i="15"/>
  <c r="Q44" i="15"/>
  <c r="K44" i="15"/>
  <c r="J44" i="15"/>
  <c r="I44" i="15"/>
  <c r="H44" i="15"/>
  <c r="Q43" i="15"/>
  <c r="O43" i="15"/>
  <c r="K43" i="15"/>
  <c r="J43" i="15"/>
  <c r="I43" i="15"/>
  <c r="H43" i="15"/>
  <c r="Q42" i="15"/>
  <c r="P42" i="15"/>
  <c r="O42" i="15"/>
  <c r="N42" i="15"/>
  <c r="K42" i="15"/>
  <c r="J42" i="15"/>
  <c r="I42" i="15"/>
  <c r="H42" i="15"/>
  <c r="Q41" i="15"/>
  <c r="P41" i="15"/>
  <c r="O41" i="15"/>
  <c r="N41" i="15"/>
  <c r="K41" i="15"/>
  <c r="J41" i="15"/>
  <c r="I41" i="15"/>
  <c r="H41" i="15"/>
  <c r="E41" i="15"/>
  <c r="D41" i="15"/>
  <c r="C41" i="15"/>
  <c r="B41" i="15"/>
  <c r="Q40" i="15"/>
  <c r="P40" i="15"/>
  <c r="O40" i="15"/>
  <c r="N40" i="15"/>
  <c r="K40" i="15"/>
  <c r="J40" i="15"/>
  <c r="I40" i="15"/>
  <c r="H40" i="15"/>
  <c r="E40" i="15"/>
  <c r="D40" i="15"/>
  <c r="C40" i="15"/>
  <c r="B40" i="15"/>
  <c r="Q39" i="15"/>
  <c r="P39" i="15"/>
  <c r="O39" i="15"/>
  <c r="N39" i="15"/>
  <c r="K39" i="15"/>
  <c r="J39" i="15"/>
  <c r="I39" i="15"/>
  <c r="H39" i="15"/>
  <c r="E39" i="15"/>
  <c r="D39" i="15"/>
  <c r="C39" i="15"/>
  <c r="B39" i="15"/>
  <c r="Q38" i="15"/>
  <c r="P38" i="15"/>
  <c r="O38" i="15"/>
  <c r="N38" i="15"/>
  <c r="K38" i="15"/>
  <c r="J38" i="15"/>
  <c r="I38" i="15"/>
  <c r="H38" i="15"/>
  <c r="E38" i="15"/>
  <c r="D38" i="15"/>
  <c r="C38" i="15"/>
  <c r="B38" i="15"/>
  <c r="Q37" i="15"/>
  <c r="P37" i="15"/>
  <c r="O37" i="15"/>
  <c r="N37" i="15"/>
  <c r="K37" i="15"/>
  <c r="J37" i="15"/>
  <c r="I37" i="15"/>
  <c r="H37" i="15"/>
  <c r="E37" i="15"/>
  <c r="D37" i="15"/>
  <c r="C37" i="15"/>
  <c r="B37" i="15"/>
  <c r="Q36" i="15"/>
  <c r="P36" i="15"/>
  <c r="O36" i="15"/>
  <c r="N36" i="15"/>
  <c r="K36" i="15"/>
  <c r="J36" i="15"/>
  <c r="I36" i="15"/>
  <c r="H36" i="15"/>
  <c r="E36" i="15"/>
  <c r="D36" i="15"/>
  <c r="C36" i="15"/>
  <c r="B36" i="15"/>
  <c r="Q35" i="15"/>
  <c r="P35" i="15"/>
  <c r="O35" i="15"/>
  <c r="N35" i="15"/>
  <c r="K35" i="15"/>
  <c r="J35" i="15"/>
  <c r="I35" i="15"/>
  <c r="H35" i="15"/>
  <c r="E35" i="15"/>
  <c r="D35" i="15"/>
  <c r="C35" i="15"/>
  <c r="B35" i="15"/>
  <c r="Q34" i="15"/>
  <c r="P34" i="15"/>
  <c r="O34" i="15"/>
  <c r="N34" i="15"/>
  <c r="K34" i="15"/>
  <c r="J34" i="15"/>
  <c r="I34" i="15"/>
  <c r="H34" i="15"/>
  <c r="E34" i="15"/>
  <c r="D34" i="15"/>
  <c r="C34" i="15"/>
  <c r="B34" i="15"/>
  <c r="Q33" i="15"/>
  <c r="P33" i="15"/>
  <c r="O33" i="15"/>
  <c r="N33" i="15"/>
  <c r="K33" i="15"/>
  <c r="J33" i="15"/>
  <c r="I33" i="15"/>
  <c r="H33" i="15"/>
  <c r="E33" i="15"/>
  <c r="D33" i="15"/>
  <c r="C33" i="15"/>
  <c r="B33" i="15"/>
  <c r="Q32" i="15"/>
  <c r="P32" i="15"/>
  <c r="O32" i="15"/>
  <c r="N32" i="15"/>
  <c r="K32" i="15"/>
  <c r="J32" i="15"/>
  <c r="I32" i="15"/>
  <c r="H32" i="15"/>
  <c r="E32" i="15"/>
  <c r="D32" i="15"/>
  <c r="C32" i="15"/>
  <c r="B32" i="15"/>
  <c r="Q31" i="15"/>
  <c r="P31" i="15"/>
  <c r="O31" i="15"/>
  <c r="N31" i="15"/>
  <c r="K31" i="15"/>
  <c r="J31" i="15"/>
  <c r="I31" i="15"/>
  <c r="H31" i="15"/>
  <c r="E31" i="15"/>
  <c r="D31" i="15"/>
  <c r="C31" i="15"/>
  <c r="B31" i="15"/>
  <c r="Q30" i="15"/>
  <c r="P30" i="15"/>
  <c r="O30" i="15"/>
  <c r="N30" i="15"/>
  <c r="K30" i="15"/>
  <c r="J30" i="15"/>
  <c r="I30" i="15"/>
  <c r="H30" i="15"/>
  <c r="E30" i="15"/>
  <c r="D30" i="15"/>
  <c r="C30" i="15"/>
  <c r="B30" i="15"/>
  <c r="Q26" i="15"/>
  <c r="P26" i="15"/>
  <c r="O26" i="15"/>
  <c r="N26" i="15"/>
  <c r="Q25" i="15"/>
  <c r="Q27" i="15" s="1"/>
  <c r="P25" i="15"/>
  <c r="O25" i="15"/>
  <c r="N25" i="15"/>
  <c r="Q24" i="15"/>
  <c r="Q49" i="15" s="1"/>
  <c r="P24" i="15"/>
  <c r="O24" i="15"/>
  <c r="O51" i="15" s="1"/>
  <c r="N24" i="15"/>
  <c r="N48" i="15" s="1"/>
  <c r="B6" i="15"/>
  <c r="K77" i="15" s="1"/>
  <c r="C5" i="15"/>
  <c r="D5" i="15" s="1"/>
  <c r="I77" i="14"/>
  <c r="H77" i="14"/>
  <c r="J74" i="14"/>
  <c r="H74" i="14"/>
  <c r="K62" i="14"/>
  <c r="J62" i="14"/>
  <c r="I62" i="14"/>
  <c r="H62" i="14"/>
  <c r="H64" i="14" s="1"/>
  <c r="K61" i="14"/>
  <c r="I61" i="14"/>
  <c r="I60" i="14"/>
  <c r="K59" i="14"/>
  <c r="K74" i="14" s="1"/>
  <c r="J59" i="14"/>
  <c r="I59" i="14"/>
  <c r="I74" i="14" s="1"/>
  <c r="H59" i="14"/>
  <c r="K58" i="14"/>
  <c r="K60" i="14" s="1"/>
  <c r="J58" i="14"/>
  <c r="J61" i="14" s="1"/>
  <c r="I58" i="14"/>
  <c r="H58" i="14"/>
  <c r="H61" i="14" s="1"/>
  <c r="E58" i="14"/>
  <c r="D58" i="14"/>
  <c r="C58" i="14"/>
  <c r="B58" i="14"/>
  <c r="K57" i="14"/>
  <c r="J57" i="14"/>
  <c r="I57" i="14"/>
  <c r="H57" i="14"/>
  <c r="E57" i="14"/>
  <c r="D57" i="14"/>
  <c r="C57" i="14"/>
  <c r="B57" i="14"/>
  <c r="K56" i="14"/>
  <c r="J56" i="14"/>
  <c r="I56" i="14"/>
  <c r="H56" i="14"/>
  <c r="E56" i="14"/>
  <c r="D56" i="14"/>
  <c r="C56" i="14"/>
  <c r="B56" i="14"/>
  <c r="K55" i="14"/>
  <c r="J55" i="14"/>
  <c r="I55" i="14"/>
  <c r="H55" i="14"/>
  <c r="E55" i="14"/>
  <c r="D55" i="14"/>
  <c r="C55" i="14"/>
  <c r="B55" i="14"/>
  <c r="K54" i="14"/>
  <c r="J54" i="14"/>
  <c r="I54" i="14"/>
  <c r="H54" i="14"/>
  <c r="E54" i="14"/>
  <c r="D54" i="14"/>
  <c r="C54" i="14"/>
  <c r="B54" i="14"/>
  <c r="K53" i="14"/>
  <c r="J53" i="14"/>
  <c r="I53" i="14"/>
  <c r="H53" i="14"/>
  <c r="E53" i="14"/>
  <c r="D53" i="14"/>
  <c r="C53" i="14"/>
  <c r="B53" i="14"/>
  <c r="K52" i="14"/>
  <c r="J52" i="14"/>
  <c r="I52" i="14"/>
  <c r="H52" i="14"/>
  <c r="E52" i="14"/>
  <c r="D52" i="14"/>
  <c r="C52" i="14"/>
  <c r="B52" i="14"/>
  <c r="P51" i="14"/>
  <c r="O51" i="14"/>
  <c r="K51" i="14"/>
  <c r="J51" i="14"/>
  <c r="I51" i="14"/>
  <c r="H51" i="14"/>
  <c r="E51" i="14"/>
  <c r="D51" i="14"/>
  <c r="C51" i="14"/>
  <c r="B51" i="14"/>
  <c r="J50" i="14"/>
  <c r="I50" i="14"/>
  <c r="H50" i="14"/>
  <c r="Q48" i="14"/>
  <c r="P48" i="14"/>
  <c r="Q46" i="14"/>
  <c r="P46" i="14"/>
  <c r="K46" i="14"/>
  <c r="J46" i="14"/>
  <c r="I46" i="14"/>
  <c r="H46" i="14"/>
  <c r="Q45" i="14"/>
  <c r="P45" i="14"/>
  <c r="K45" i="14"/>
  <c r="J45" i="14"/>
  <c r="I45" i="14"/>
  <c r="H45" i="14"/>
  <c r="Q44" i="14"/>
  <c r="P44" i="14"/>
  <c r="K44" i="14"/>
  <c r="J44" i="14"/>
  <c r="I44" i="14"/>
  <c r="H44" i="14"/>
  <c r="Q43" i="14"/>
  <c r="P43" i="14"/>
  <c r="K43" i="14"/>
  <c r="J43" i="14"/>
  <c r="I43" i="14"/>
  <c r="H43" i="14"/>
  <c r="Q42" i="14"/>
  <c r="P42" i="14"/>
  <c r="O42" i="14"/>
  <c r="N42" i="14"/>
  <c r="K42" i="14"/>
  <c r="J42" i="14"/>
  <c r="I42" i="14"/>
  <c r="H42" i="14"/>
  <c r="Q41" i="14"/>
  <c r="P41" i="14"/>
  <c r="O41" i="14"/>
  <c r="N41" i="14"/>
  <c r="K41" i="14"/>
  <c r="J41" i="14"/>
  <c r="I41" i="14"/>
  <c r="H41" i="14"/>
  <c r="E41" i="14"/>
  <c r="D41" i="14"/>
  <c r="C41" i="14"/>
  <c r="B41" i="14"/>
  <c r="Q40" i="14"/>
  <c r="P40" i="14"/>
  <c r="O40" i="14"/>
  <c r="N40" i="14"/>
  <c r="K40" i="14"/>
  <c r="J40" i="14"/>
  <c r="I40" i="14"/>
  <c r="H40" i="14"/>
  <c r="E40" i="14"/>
  <c r="D40" i="14"/>
  <c r="C40" i="14"/>
  <c r="B40" i="14"/>
  <c r="Q39" i="14"/>
  <c r="P39" i="14"/>
  <c r="O39" i="14"/>
  <c r="N39" i="14"/>
  <c r="K39" i="14"/>
  <c r="J39" i="14"/>
  <c r="I39" i="14"/>
  <c r="H39" i="14"/>
  <c r="E39" i="14"/>
  <c r="D39" i="14"/>
  <c r="C39" i="14"/>
  <c r="B39" i="14"/>
  <c r="Q38" i="14"/>
  <c r="P38" i="14"/>
  <c r="O38" i="14"/>
  <c r="N38" i="14"/>
  <c r="K38" i="14"/>
  <c r="J38" i="14"/>
  <c r="I38" i="14"/>
  <c r="H38" i="14"/>
  <c r="E38" i="14"/>
  <c r="D38" i="14"/>
  <c r="C38" i="14"/>
  <c r="B38" i="14"/>
  <c r="Q37" i="14"/>
  <c r="P37" i="14"/>
  <c r="O37" i="14"/>
  <c r="N37" i="14"/>
  <c r="K37" i="14"/>
  <c r="J37" i="14"/>
  <c r="I37" i="14"/>
  <c r="H37" i="14"/>
  <c r="E37" i="14"/>
  <c r="D37" i="14"/>
  <c r="C37" i="14"/>
  <c r="B37" i="14"/>
  <c r="Q36" i="14"/>
  <c r="P36" i="14"/>
  <c r="O36" i="14"/>
  <c r="N36" i="14"/>
  <c r="K36" i="14"/>
  <c r="J36" i="14"/>
  <c r="I36" i="14"/>
  <c r="H36" i="14"/>
  <c r="E36" i="14"/>
  <c r="D36" i="14"/>
  <c r="C36" i="14"/>
  <c r="B36" i="14"/>
  <c r="Q35" i="14"/>
  <c r="P35" i="14"/>
  <c r="O35" i="14"/>
  <c r="N35" i="14"/>
  <c r="K35" i="14"/>
  <c r="J35" i="14"/>
  <c r="I35" i="14"/>
  <c r="H35" i="14"/>
  <c r="E35" i="14"/>
  <c r="D35" i="14"/>
  <c r="C35" i="14"/>
  <c r="B35" i="14"/>
  <c r="Q34" i="14"/>
  <c r="P34" i="14"/>
  <c r="O34" i="14"/>
  <c r="N34" i="14"/>
  <c r="K34" i="14"/>
  <c r="J34" i="14"/>
  <c r="I34" i="14"/>
  <c r="H34" i="14"/>
  <c r="E34" i="14"/>
  <c r="D34" i="14"/>
  <c r="C34" i="14"/>
  <c r="B34" i="14"/>
  <c r="Q33" i="14"/>
  <c r="P33" i="14"/>
  <c r="O33" i="14"/>
  <c r="N33" i="14"/>
  <c r="K33" i="14"/>
  <c r="J33" i="14"/>
  <c r="I33" i="14"/>
  <c r="H33" i="14"/>
  <c r="E33" i="14"/>
  <c r="D33" i="14"/>
  <c r="C33" i="14"/>
  <c r="B33" i="14"/>
  <c r="Q32" i="14"/>
  <c r="P32" i="14"/>
  <c r="O32" i="14"/>
  <c r="N32" i="14"/>
  <c r="K32" i="14"/>
  <c r="J32" i="14"/>
  <c r="I32" i="14"/>
  <c r="H32" i="14"/>
  <c r="E32" i="14"/>
  <c r="D32" i="14"/>
  <c r="C32" i="14"/>
  <c r="B32" i="14"/>
  <c r="Q31" i="14"/>
  <c r="P31" i="14"/>
  <c r="O31" i="14"/>
  <c r="N31" i="14"/>
  <c r="K31" i="14"/>
  <c r="J31" i="14"/>
  <c r="I31" i="14"/>
  <c r="H31" i="14"/>
  <c r="E31" i="14"/>
  <c r="D31" i="14"/>
  <c r="C31" i="14"/>
  <c r="B31" i="14"/>
  <c r="Q30" i="14"/>
  <c r="P30" i="14"/>
  <c r="O30" i="14"/>
  <c r="N30" i="14"/>
  <c r="K30" i="14"/>
  <c r="J30" i="14"/>
  <c r="I30" i="14"/>
  <c r="H30" i="14"/>
  <c r="E30" i="14"/>
  <c r="D30" i="14"/>
  <c r="C30" i="14"/>
  <c r="B30" i="14"/>
  <c r="Q26" i="14"/>
  <c r="P26" i="14"/>
  <c r="O26" i="14"/>
  <c r="N26" i="14"/>
  <c r="Q25" i="14"/>
  <c r="Q51" i="14" s="1"/>
  <c r="P25" i="14"/>
  <c r="P27" i="14" s="1"/>
  <c r="O25" i="14"/>
  <c r="N25" i="14"/>
  <c r="Q24" i="14"/>
  <c r="Q49" i="14" s="1"/>
  <c r="P24" i="14"/>
  <c r="P49" i="14" s="1"/>
  <c r="O24" i="14"/>
  <c r="O49" i="14" s="1"/>
  <c r="N24" i="14"/>
  <c r="N51" i="14" s="1"/>
  <c r="B6" i="14"/>
  <c r="K77" i="14" s="1"/>
  <c r="D5" i="14"/>
  <c r="C5" i="14"/>
  <c r="K75" i="13"/>
  <c r="H75" i="13"/>
  <c r="K72" i="13"/>
  <c r="H64" i="13"/>
  <c r="I61" i="13"/>
  <c r="K59" i="13"/>
  <c r="J59" i="13"/>
  <c r="J72" i="13" s="1"/>
  <c r="I59" i="13"/>
  <c r="I72" i="13" s="1"/>
  <c r="H59" i="13"/>
  <c r="H72" i="13" s="1"/>
  <c r="K58" i="13"/>
  <c r="K61" i="13" s="1"/>
  <c r="J58" i="13"/>
  <c r="J60" i="13" s="1"/>
  <c r="I58" i="13"/>
  <c r="H58" i="13"/>
  <c r="H60" i="13" s="1"/>
  <c r="E58" i="13"/>
  <c r="D58" i="13"/>
  <c r="C58" i="13"/>
  <c r="B58" i="13"/>
  <c r="K57" i="13"/>
  <c r="J57" i="13"/>
  <c r="I57" i="13"/>
  <c r="H57" i="13"/>
  <c r="E57" i="13"/>
  <c r="D57" i="13"/>
  <c r="C57" i="13"/>
  <c r="B57" i="13"/>
  <c r="I56" i="13"/>
  <c r="H56" i="13"/>
  <c r="E56" i="13"/>
  <c r="D56" i="13"/>
  <c r="C56" i="13"/>
  <c r="B56" i="13"/>
  <c r="K55" i="13"/>
  <c r="J55" i="13"/>
  <c r="I55" i="13"/>
  <c r="H55" i="13"/>
  <c r="E55" i="13"/>
  <c r="D55" i="13"/>
  <c r="C55" i="13"/>
  <c r="B55" i="13"/>
  <c r="K54" i="13"/>
  <c r="J54" i="13"/>
  <c r="I54" i="13"/>
  <c r="H54" i="13"/>
  <c r="E54" i="13"/>
  <c r="D54" i="13"/>
  <c r="C54" i="13"/>
  <c r="B54" i="13"/>
  <c r="K53" i="13"/>
  <c r="J53" i="13"/>
  <c r="I53" i="13"/>
  <c r="H53" i="13"/>
  <c r="E53" i="13"/>
  <c r="D53" i="13"/>
  <c r="C53" i="13"/>
  <c r="B53" i="13"/>
  <c r="K52" i="13"/>
  <c r="J52" i="13"/>
  <c r="I52" i="13"/>
  <c r="H52" i="13"/>
  <c r="E52" i="13"/>
  <c r="D52" i="13"/>
  <c r="C52" i="13"/>
  <c r="B52" i="13"/>
  <c r="I51" i="13"/>
  <c r="H51" i="13"/>
  <c r="E51" i="13"/>
  <c r="D51" i="13"/>
  <c r="C51" i="13"/>
  <c r="B51" i="13"/>
  <c r="J50" i="13"/>
  <c r="I50" i="13"/>
  <c r="H50" i="13"/>
  <c r="Q49" i="13"/>
  <c r="N49" i="13"/>
  <c r="Q48" i="13"/>
  <c r="Q47" i="13"/>
  <c r="Q46" i="13"/>
  <c r="K46" i="13"/>
  <c r="J46" i="13"/>
  <c r="I46" i="13"/>
  <c r="H46" i="13"/>
  <c r="Q45" i="13"/>
  <c r="K45" i="13"/>
  <c r="J45" i="13"/>
  <c r="I45" i="13"/>
  <c r="H45" i="13"/>
  <c r="Q44" i="13"/>
  <c r="K44" i="13"/>
  <c r="J44" i="13"/>
  <c r="I44" i="13"/>
  <c r="H44" i="13"/>
  <c r="Q43" i="13"/>
  <c r="K43" i="13"/>
  <c r="J43" i="13"/>
  <c r="I43" i="13"/>
  <c r="H43" i="13"/>
  <c r="Q42" i="13"/>
  <c r="P42" i="13"/>
  <c r="O42" i="13"/>
  <c r="N42" i="13"/>
  <c r="K42" i="13"/>
  <c r="J42" i="13"/>
  <c r="I42" i="13"/>
  <c r="H42" i="13"/>
  <c r="Q41" i="13"/>
  <c r="P41" i="13"/>
  <c r="O41" i="13"/>
  <c r="N41" i="13"/>
  <c r="K41" i="13"/>
  <c r="J41" i="13"/>
  <c r="I41" i="13"/>
  <c r="H41" i="13"/>
  <c r="E41" i="13"/>
  <c r="D41" i="13"/>
  <c r="C41" i="13"/>
  <c r="B41" i="13"/>
  <c r="Q40" i="13"/>
  <c r="P40" i="13"/>
  <c r="O40" i="13"/>
  <c r="N40" i="13"/>
  <c r="K40" i="13"/>
  <c r="J40" i="13"/>
  <c r="I40" i="13"/>
  <c r="H40" i="13"/>
  <c r="E40" i="13"/>
  <c r="D40" i="13"/>
  <c r="C40" i="13"/>
  <c r="B40" i="13"/>
  <c r="Q39" i="13"/>
  <c r="P39" i="13"/>
  <c r="O39" i="13"/>
  <c r="N39" i="13"/>
  <c r="K39" i="13"/>
  <c r="J39" i="13"/>
  <c r="I39" i="13"/>
  <c r="H39" i="13"/>
  <c r="E39" i="13"/>
  <c r="D39" i="13"/>
  <c r="C39" i="13"/>
  <c r="B39" i="13"/>
  <c r="Q38" i="13"/>
  <c r="P38" i="13"/>
  <c r="O38" i="13"/>
  <c r="N38" i="13"/>
  <c r="K38" i="13"/>
  <c r="J38" i="13"/>
  <c r="I38" i="13"/>
  <c r="H38" i="13"/>
  <c r="E38" i="13"/>
  <c r="D38" i="13"/>
  <c r="C38" i="13"/>
  <c r="B38" i="13"/>
  <c r="Q37" i="13"/>
  <c r="P37" i="13"/>
  <c r="O37" i="13"/>
  <c r="N37" i="13"/>
  <c r="K37" i="13"/>
  <c r="J37" i="13"/>
  <c r="I37" i="13"/>
  <c r="H37" i="13"/>
  <c r="E37" i="13"/>
  <c r="D37" i="13"/>
  <c r="C37" i="13"/>
  <c r="B37" i="13"/>
  <c r="Q36" i="13"/>
  <c r="P36" i="13"/>
  <c r="O36" i="13"/>
  <c r="N36" i="13"/>
  <c r="K36" i="13"/>
  <c r="J36" i="13"/>
  <c r="I36" i="13"/>
  <c r="H36" i="13"/>
  <c r="E36" i="13"/>
  <c r="D36" i="13"/>
  <c r="C36" i="13"/>
  <c r="B36" i="13"/>
  <c r="Q35" i="13"/>
  <c r="P35" i="13"/>
  <c r="O35" i="13"/>
  <c r="N35" i="13"/>
  <c r="K35" i="13"/>
  <c r="J35" i="13"/>
  <c r="I35" i="13"/>
  <c r="H35" i="13"/>
  <c r="E35" i="13"/>
  <c r="D35" i="13"/>
  <c r="C35" i="13"/>
  <c r="B35" i="13"/>
  <c r="Q34" i="13"/>
  <c r="P34" i="13"/>
  <c r="O34" i="13"/>
  <c r="N34" i="13"/>
  <c r="K34" i="13"/>
  <c r="J34" i="13"/>
  <c r="I34" i="13"/>
  <c r="H34" i="13"/>
  <c r="E34" i="13"/>
  <c r="D34" i="13"/>
  <c r="C34" i="13"/>
  <c r="B34" i="13"/>
  <c r="Q33" i="13"/>
  <c r="P33" i="13"/>
  <c r="O33" i="13"/>
  <c r="N33" i="13"/>
  <c r="K33" i="13"/>
  <c r="J33" i="13"/>
  <c r="I33" i="13"/>
  <c r="H33" i="13"/>
  <c r="E33" i="13"/>
  <c r="D33" i="13"/>
  <c r="C33" i="13"/>
  <c r="B33" i="13"/>
  <c r="Q32" i="13"/>
  <c r="P32" i="13"/>
  <c r="O32" i="13"/>
  <c r="N32" i="13"/>
  <c r="K32" i="13"/>
  <c r="I32" i="13"/>
  <c r="H32" i="13"/>
  <c r="E32" i="13"/>
  <c r="D32" i="13"/>
  <c r="C32" i="13"/>
  <c r="B32" i="13"/>
  <c r="Q31" i="13"/>
  <c r="P31" i="13"/>
  <c r="O31" i="13"/>
  <c r="N31" i="13"/>
  <c r="K31" i="13"/>
  <c r="J31" i="13"/>
  <c r="I31" i="13"/>
  <c r="H31" i="13"/>
  <c r="E31" i="13"/>
  <c r="D31" i="13"/>
  <c r="C31" i="13"/>
  <c r="B31" i="13"/>
  <c r="Q30" i="13"/>
  <c r="P30" i="13"/>
  <c r="O30" i="13"/>
  <c r="N30" i="13"/>
  <c r="K30" i="13"/>
  <c r="J30" i="13"/>
  <c r="I30" i="13"/>
  <c r="H30" i="13"/>
  <c r="E30" i="13"/>
  <c r="D30" i="13"/>
  <c r="C30" i="13"/>
  <c r="B30" i="13"/>
  <c r="O27" i="13"/>
  <c r="Q26" i="13"/>
  <c r="P26" i="13"/>
  <c r="O26" i="13"/>
  <c r="N26" i="13"/>
  <c r="Q25" i="13"/>
  <c r="Q27" i="13" s="1"/>
  <c r="P25" i="13"/>
  <c r="O25" i="13"/>
  <c r="N25" i="13"/>
  <c r="Q24" i="13"/>
  <c r="P24" i="13"/>
  <c r="P49" i="13" s="1"/>
  <c r="O24" i="13"/>
  <c r="N24" i="13"/>
  <c r="E24" i="13"/>
  <c r="D24" i="13"/>
  <c r="C24" i="13"/>
  <c r="B24" i="13"/>
  <c r="B25" i="13" s="1"/>
  <c r="E23" i="13"/>
  <c r="D23" i="13"/>
  <c r="C23" i="13"/>
  <c r="B23" i="13"/>
  <c r="K13" i="13"/>
  <c r="K56" i="13" s="1"/>
  <c r="J13" i="13"/>
  <c r="B6" i="13"/>
  <c r="J75" i="13" s="1"/>
  <c r="D5" i="13"/>
  <c r="C5" i="13"/>
  <c r="K76" i="12"/>
  <c r="I76" i="12"/>
  <c r="J75" i="12"/>
  <c r="I75" i="12"/>
  <c r="H75" i="12"/>
  <c r="J74" i="12"/>
  <c r="H73" i="12"/>
  <c r="H72" i="12"/>
  <c r="J71" i="12"/>
  <c r="I71" i="12"/>
  <c r="H71" i="12"/>
  <c r="J70" i="12"/>
  <c r="I70" i="12"/>
  <c r="H70" i="12"/>
  <c r="I69" i="12"/>
  <c r="H69" i="12"/>
  <c r="K66" i="12"/>
  <c r="J66" i="12"/>
  <c r="I66" i="12"/>
  <c r="H68" i="12" s="1"/>
  <c r="H66" i="12"/>
  <c r="J65" i="12"/>
  <c r="H65" i="12"/>
  <c r="K64" i="12"/>
  <c r="K63" i="12"/>
  <c r="J63" i="12"/>
  <c r="I63" i="12"/>
  <c r="H63" i="12"/>
  <c r="K62" i="12"/>
  <c r="K65" i="12" s="1"/>
  <c r="J62" i="12"/>
  <c r="I62" i="12"/>
  <c r="I65" i="12" s="1"/>
  <c r="H62" i="12"/>
  <c r="H64" i="12" s="1"/>
  <c r="E62" i="12"/>
  <c r="D62" i="12"/>
  <c r="C62" i="12"/>
  <c r="I74" i="12" s="1"/>
  <c r="B62" i="12"/>
  <c r="E61" i="12"/>
  <c r="D61" i="12"/>
  <c r="C61" i="12"/>
  <c r="B61" i="12"/>
  <c r="K60" i="12"/>
  <c r="J60" i="12"/>
  <c r="I60" i="12"/>
  <c r="H60" i="12"/>
  <c r="E60" i="12"/>
  <c r="D60" i="12"/>
  <c r="C60" i="12"/>
  <c r="B60" i="12"/>
  <c r="K59" i="12"/>
  <c r="J59" i="12"/>
  <c r="I59" i="12"/>
  <c r="H59" i="12"/>
  <c r="E59" i="12"/>
  <c r="D59" i="12"/>
  <c r="C59" i="12"/>
  <c r="B59" i="12"/>
  <c r="K58" i="12"/>
  <c r="J58" i="12"/>
  <c r="I58" i="12"/>
  <c r="H58" i="12"/>
  <c r="E58" i="12"/>
  <c r="D58" i="12"/>
  <c r="C58" i="12"/>
  <c r="B58" i="12"/>
  <c r="K57" i="12"/>
  <c r="J73" i="12" s="1"/>
  <c r="J57" i="12"/>
  <c r="I57" i="12"/>
  <c r="I73" i="12" s="1"/>
  <c r="H57" i="12"/>
  <c r="E57" i="12"/>
  <c r="D57" i="12"/>
  <c r="C57" i="12"/>
  <c r="B57" i="12"/>
  <c r="K56" i="12"/>
  <c r="J56" i="12"/>
  <c r="I56" i="12"/>
  <c r="I72" i="12" s="1"/>
  <c r="H56" i="12"/>
  <c r="E56" i="12"/>
  <c r="D56" i="12"/>
  <c r="C56" i="12"/>
  <c r="B56" i="12"/>
  <c r="K55" i="12"/>
  <c r="J69" i="12" s="1"/>
  <c r="J55" i="12"/>
  <c r="I55" i="12"/>
  <c r="H55" i="12"/>
  <c r="D55" i="12"/>
  <c r="C55" i="12"/>
  <c r="J54" i="12"/>
  <c r="I54" i="12"/>
  <c r="H54" i="12"/>
  <c r="P52" i="12"/>
  <c r="O52" i="12"/>
  <c r="N52" i="12"/>
  <c r="O51" i="12"/>
  <c r="N51" i="12"/>
  <c r="N49" i="12"/>
  <c r="Q48" i="12"/>
  <c r="P48" i="12"/>
  <c r="O48" i="12"/>
  <c r="N47" i="12"/>
  <c r="Q46" i="12"/>
  <c r="P46" i="12"/>
  <c r="O46" i="12"/>
  <c r="K46" i="12"/>
  <c r="J46" i="12"/>
  <c r="I46" i="12"/>
  <c r="H46" i="12"/>
  <c r="Q45" i="12"/>
  <c r="P45" i="12"/>
  <c r="O45" i="12"/>
  <c r="K45" i="12"/>
  <c r="J45" i="12"/>
  <c r="I45" i="12"/>
  <c r="H45" i="12"/>
  <c r="P44" i="12"/>
  <c r="O44" i="12"/>
  <c r="K44" i="12"/>
  <c r="J44" i="12"/>
  <c r="I44" i="12"/>
  <c r="H44" i="12"/>
  <c r="P43" i="12"/>
  <c r="O43" i="12"/>
  <c r="K43" i="12"/>
  <c r="J43" i="12"/>
  <c r="I43" i="12"/>
  <c r="H43" i="12"/>
  <c r="Q42" i="12"/>
  <c r="P42" i="12"/>
  <c r="O42" i="12"/>
  <c r="N42" i="12"/>
  <c r="K42" i="12"/>
  <c r="J42" i="12"/>
  <c r="I42" i="12"/>
  <c r="H42" i="12"/>
  <c r="Q41" i="12"/>
  <c r="P41" i="12"/>
  <c r="O41" i="12"/>
  <c r="N41" i="12"/>
  <c r="K41" i="12"/>
  <c r="J41" i="12"/>
  <c r="I41" i="12"/>
  <c r="H41" i="12"/>
  <c r="E41" i="12"/>
  <c r="D41" i="12"/>
  <c r="C41" i="12"/>
  <c r="B41" i="12"/>
  <c r="Q40" i="12"/>
  <c r="P40" i="12"/>
  <c r="O40" i="12"/>
  <c r="N40" i="12"/>
  <c r="K40" i="12"/>
  <c r="J40" i="12"/>
  <c r="I40" i="12"/>
  <c r="H40" i="12"/>
  <c r="E40" i="12"/>
  <c r="D40" i="12"/>
  <c r="C40" i="12"/>
  <c r="B40" i="12"/>
  <c r="Q39" i="12"/>
  <c r="P39" i="12"/>
  <c r="O39" i="12"/>
  <c r="N39" i="12"/>
  <c r="K39" i="12"/>
  <c r="J39" i="12"/>
  <c r="I39" i="12"/>
  <c r="H39" i="12"/>
  <c r="E39" i="12"/>
  <c r="D39" i="12"/>
  <c r="C39" i="12"/>
  <c r="B39" i="12"/>
  <c r="Q38" i="12"/>
  <c r="P38" i="12"/>
  <c r="O38" i="12"/>
  <c r="N38" i="12"/>
  <c r="K38" i="12"/>
  <c r="J38" i="12"/>
  <c r="I38" i="12"/>
  <c r="H38" i="12"/>
  <c r="E38" i="12"/>
  <c r="D38" i="12"/>
  <c r="C38" i="12"/>
  <c r="B38" i="12"/>
  <c r="Q37" i="12"/>
  <c r="P37" i="12"/>
  <c r="O37" i="12"/>
  <c r="N37" i="12"/>
  <c r="K37" i="12"/>
  <c r="J37" i="12"/>
  <c r="I37" i="12"/>
  <c r="H37" i="12"/>
  <c r="E37" i="12"/>
  <c r="D37" i="12"/>
  <c r="C37" i="12"/>
  <c r="B37" i="12"/>
  <c r="Q36" i="12"/>
  <c r="P36" i="12"/>
  <c r="O36" i="12"/>
  <c r="N36" i="12"/>
  <c r="K36" i="12"/>
  <c r="J36" i="12"/>
  <c r="I36" i="12"/>
  <c r="H36" i="12"/>
  <c r="E36" i="12"/>
  <c r="D36" i="12"/>
  <c r="C36" i="12"/>
  <c r="B36" i="12"/>
  <c r="Q35" i="12"/>
  <c r="P35" i="12"/>
  <c r="O35" i="12"/>
  <c r="N35" i="12"/>
  <c r="K35" i="12"/>
  <c r="J35" i="12"/>
  <c r="I35" i="12"/>
  <c r="H35" i="12"/>
  <c r="E35" i="12"/>
  <c r="D35" i="12"/>
  <c r="C35" i="12"/>
  <c r="B35" i="12"/>
  <c r="Q34" i="12"/>
  <c r="P34" i="12"/>
  <c r="O34" i="12"/>
  <c r="N34" i="12"/>
  <c r="K34" i="12"/>
  <c r="J34" i="12"/>
  <c r="I34" i="12"/>
  <c r="H34" i="12"/>
  <c r="E34" i="12"/>
  <c r="D34" i="12"/>
  <c r="C34" i="12"/>
  <c r="B34" i="12"/>
  <c r="Q33" i="12"/>
  <c r="P33" i="12"/>
  <c r="O33" i="12"/>
  <c r="N33" i="12"/>
  <c r="K33" i="12"/>
  <c r="J33" i="12"/>
  <c r="I33" i="12"/>
  <c r="H33" i="12"/>
  <c r="E33" i="12"/>
  <c r="D33" i="12"/>
  <c r="C33" i="12"/>
  <c r="B33" i="12"/>
  <c r="Q32" i="12"/>
  <c r="P32" i="12"/>
  <c r="O32" i="12"/>
  <c r="N32" i="12"/>
  <c r="K32" i="12"/>
  <c r="J32" i="12"/>
  <c r="I32" i="12"/>
  <c r="H32" i="12"/>
  <c r="E32" i="12"/>
  <c r="D32" i="12"/>
  <c r="C32" i="12"/>
  <c r="B32" i="12"/>
  <c r="Q31" i="12"/>
  <c r="P31" i="12"/>
  <c r="O31" i="12"/>
  <c r="N31" i="12"/>
  <c r="K31" i="12"/>
  <c r="J31" i="12"/>
  <c r="I31" i="12"/>
  <c r="H31" i="12"/>
  <c r="E31" i="12"/>
  <c r="D31" i="12"/>
  <c r="C31" i="12"/>
  <c r="B31" i="12"/>
  <c r="Q30" i="12"/>
  <c r="P30" i="12"/>
  <c r="O30" i="12"/>
  <c r="N30" i="12"/>
  <c r="K30" i="12"/>
  <c r="J30" i="12"/>
  <c r="I30" i="12"/>
  <c r="H30" i="12"/>
  <c r="E30" i="12"/>
  <c r="D30" i="12"/>
  <c r="C30" i="12"/>
  <c r="B30" i="12"/>
  <c r="P28" i="12"/>
  <c r="O28" i="12"/>
  <c r="N28" i="12"/>
  <c r="P27" i="12"/>
  <c r="F27" i="12"/>
  <c r="B27" i="12"/>
  <c r="Q26" i="12"/>
  <c r="P26" i="12"/>
  <c r="O26" i="12"/>
  <c r="N26" i="12"/>
  <c r="Q25" i="12"/>
  <c r="P25" i="12"/>
  <c r="P51" i="12" s="1"/>
  <c r="O25" i="12"/>
  <c r="N25" i="12"/>
  <c r="Q24" i="12"/>
  <c r="Q49" i="12" s="1"/>
  <c r="P24" i="12"/>
  <c r="P49" i="12" s="1"/>
  <c r="O24" i="12"/>
  <c r="O27" i="12" s="1"/>
  <c r="N24" i="12"/>
  <c r="E24" i="12"/>
  <c r="D24" i="12"/>
  <c r="C24" i="12"/>
  <c r="B24" i="12"/>
  <c r="E23" i="12"/>
  <c r="E55" i="12" s="1"/>
  <c r="D23" i="12"/>
  <c r="C23" i="12"/>
  <c r="C26" i="12" s="1"/>
  <c r="B23" i="12"/>
  <c r="D5" i="12"/>
  <c r="C5" i="12"/>
  <c r="K62" i="11"/>
  <c r="J62" i="11"/>
  <c r="I62" i="11"/>
  <c r="H62" i="11"/>
  <c r="K61" i="11"/>
  <c r="J61" i="11"/>
  <c r="K59" i="11"/>
  <c r="J59" i="11"/>
  <c r="J60" i="11" s="1"/>
  <c r="I59" i="11"/>
  <c r="H59" i="11"/>
  <c r="K58" i="11"/>
  <c r="J58" i="11"/>
  <c r="I58" i="11"/>
  <c r="I61" i="11" s="1"/>
  <c r="H58" i="11"/>
  <c r="H61" i="11" s="1"/>
  <c r="E58" i="11"/>
  <c r="D58" i="11"/>
  <c r="C58" i="11"/>
  <c r="B58" i="11"/>
  <c r="K57" i="11"/>
  <c r="J57" i="11"/>
  <c r="I57" i="11"/>
  <c r="H57" i="11"/>
  <c r="E57" i="11"/>
  <c r="D57" i="11"/>
  <c r="C57" i="11"/>
  <c r="B57" i="11"/>
  <c r="K56" i="11"/>
  <c r="J56" i="11"/>
  <c r="I56" i="11"/>
  <c r="H56" i="11"/>
  <c r="E56" i="11"/>
  <c r="D56" i="11"/>
  <c r="C56" i="11"/>
  <c r="B56" i="11"/>
  <c r="K55" i="11"/>
  <c r="J55" i="11"/>
  <c r="I55" i="11"/>
  <c r="H55" i="11"/>
  <c r="E55" i="11"/>
  <c r="D55" i="11"/>
  <c r="C55" i="11"/>
  <c r="B55" i="11"/>
  <c r="K54" i="11"/>
  <c r="J54" i="11"/>
  <c r="I54" i="11"/>
  <c r="H54" i="11"/>
  <c r="E54" i="11"/>
  <c r="D54" i="11"/>
  <c r="C54" i="11"/>
  <c r="B54" i="11"/>
  <c r="K53" i="11"/>
  <c r="J53" i="11"/>
  <c r="I53" i="11"/>
  <c r="H53" i="11"/>
  <c r="E53" i="11"/>
  <c r="D53" i="11"/>
  <c r="C53" i="11"/>
  <c r="B53" i="11"/>
  <c r="K52" i="11"/>
  <c r="J52" i="11"/>
  <c r="I52" i="11"/>
  <c r="H52" i="11"/>
  <c r="E52" i="11"/>
  <c r="D52" i="11"/>
  <c r="C52" i="11"/>
  <c r="B52" i="11"/>
  <c r="P51" i="11"/>
  <c r="O51" i="11"/>
  <c r="K51" i="11"/>
  <c r="J51" i="11"/>
  <c r="I51" i="11"/>
  <c r="H51" i="11"/>
  <c r="E51" i="11"/>
  <c r="D51" i="11"/>
  <c r="C51" i="11"/>
  <c r="B51" i="11"/>
  <c r="J50" i="11"/>
  <c r="I50" i="11"/>
  <c r="H50" i="11"/>
  <c r="O49" i="11"/>
  <c r="P48" i="11"/>
  <c r="O48" i="11"/>
  <c r="O47" i="11"/>
  <c r="P46" i="11"/>
  <c r="O46" i="11"/>
  <c r="K46" i="11"/>
  <c r="J46" i="11"/>
  <c r="I46" i="11"/>
  <c r="H46" i="11"/>
  <c r="P45" i="11"/>
  <c r="O45" i="11"/>
  <c r="N45" i="11"/>
  <c r="K45" i="11"/>
  <c r="J45" i="11"/>
  <c r="I45" i="11"/>
  <c r="H45" i="11"/>
  <c r="P44" i="11"/>
  <c r="N44" i="11"/>
  <c r="K44" i="11"/>
  <c r="J44" i="11"/>
  <c r="I44" i="11"/>
  <c r="H44" i="11"/>
  <c r="P43" i="11"/>
  <c r="O43" i="11"/>
  <c r="K43" i="11"/>
  <c r="J43" i="11"/>
  <c r="I43" i="11"/>
  <c r="H43" i="11"/>
  <c r="Q42" i="11"/>
  <c r="P42" i="11"/>
  <c r="O42" i="11"/>
  <c r="N42" i="11"/>
  <c r="K42" i="11"/>
  <c r="J42" i="11"/>
  <c r="I42" i="11"/>
  <c r="H42" i="11"/>
  <c r="Q41" i="11"/>
  <c r="P41" i="11"/>
  <c r="O41" i="11"/>
  <c r="N41" i="11"/>
  <c r="K41" i="11"/>
  <c r="J41" i="11"/>
  <c r="I41" i="11"/>
  <c r="H41" i="11"/>
  <c r="E41" i="11"/>
  <c r="D41" i="11"/>
  <c r="C41" i="11"/>
  <c r="B41" i="11"/>
  <c r="Q40" i="11"/>
  <c r="P40" i="11"/>
  <c r="O40" i="11"/>
  <c r="N40" i="11"/>
  <c r="K40" i="11"/>
  <c r="J40" i="11"/>
  <c r="I40" i="11"/>
  <c r="H40" i="11"/>
  <c r="E40" i="11"/>
  <c r="D40" i="11"/>
  <c r="C40" i="11"/>
  <c r="B40" i="11"/>
  <c r="Q39" i="11"/>
  <c r="P39" i="11"/>
  <c r="O39" i="11"/>
  <c r="N39" i="11"/>
  <c r="K39" i="11"/>
  <c r="J39" i="11"/>
  <c r="I39" i="11"/>
  <c r="H39" i="11"/>
  <c r="E39" i="11"/>
  <c r="D39" i="11"/>
  <c r="C39" i="11"/>
  <c r="B39" i="11"/>
  <c r="Q38" i="11"/>
  <c r="P38" i="11"/>
  <c r="O38" i="11"/>
  <c r="N38" i="11"/>
  <c r="K38" i="11"/>
  <c r="J38" i="11"/>
  <c r="I38" i="11"/>
  <c r="H38" i="11"/>
  <c r="E38" i="11"/>
  <c r="D38" i="11"/>
  <c r="C38" i="11"/>
  <c r="B38" i="11"/>
  <c r="Q37" i="11"/>
  <c r="P37" i="11"/>
  <c r="O37" i="11"/>
  <c r="N37" i="11"/>
  <c r="K37" i="11"/>
  <c r="J37" i="11"/>
  <c r="I37" i="11"/>
  <c r="H37" i="11"/>
  <c r="E37" i="11"/>
  <c r="D37" i="11"/>
  <c r="C37" i="11"/>
  <c r="B37" i="11"/>
  <c r="Q36" i="11"/>
  <c r="P36" i="11"/>
  <c r="O36" i="11"/>
  <c r="N36" i="11"/>
  <c r="K36" i="11"/>
  <c r="J36" i="11"/>
  <c r="I36" i="11"/>
  <c r="H36" i="11"/>
  <c r="E36" i="11"/>
  <c r="D36" i="11"/>
  <c r="C36" i="11"/>
  <c r="B36" i="11"/>
  <c r="Q35" i="11"/>
  <c r="P35" i="11"/>
  <c r="O35" i="11"/>
  <c r="N35" i="11"/>
  <c r="K35" i="11"/>
  <c r="J35" i="11"/>
  <c r="I35" i="11"/>
  <c r="H35" i="11"/>
  <c r="E35" i="11"/>
  <c r="D35" i="11"/>
  <c r="C35" i="11"/>
  <c r="B35" i="11"/>
  <c r="Q34" i="11"/>
  <c r="P34" i="11"/>
  <c r="O34" i="11"/>
  <c r="N34" i="11"/>
  <c r="K34" i="11"/>
  <c r="J34" i="11"/>
  <c r="I34" i="11"/>
  <c r="H34" i="11"/>
  <c r="E34" i="11"/>
  <c r="D34" i="11"/>
  <c r="C34" i="11"/>
  <c r="B34" i="11"/>
  <c r="Q33" i="11"/>
  <c r="P33" i="11"/>
  <c r="O33" i="11"/>
  <c r="N33" i="11"/>
  <c r="K33" i="11"/>
  <c r="J33" i="11"/>
  <c r="I33" i="11"/>
  <c r="H33" i="11"/>
  <c r="E33" i="11"/>
  <c r="D33" i="11"/>
  <c r="C33" i="11"/>
  <c r="B33" i="11"/>
  <c r="Q32" i="11"/>
  <c r="P32" i="11"/>
  <c r="O32" i="11"/>
  <c r="N32" i="11"/>
  <c r="K32" i="11"/>
  <c r="J32" i="11"/>
  <c r="I32" i="11"/>
  <c r="H32" i="11"/>
  <c r="E32" i="11"/>
  <c r="D32" i="11"/>
  <c r="C32" i="11"/>
  <c r="B32" i="11"/>
  <c r="Q31" i="11"/>
  <c r="P31" i="11"/>
  <c r="O31" i="11"/>
  <c r="N31" i="11"/>
  <c r="K31" i="11"/>
  <c r="J31" i="11"/>
  <c r="I31" i="11"/>
  <c r="H31" i="11"/>
  <c r="E31" i="11"/>
  <c r="D31" i="11"/>
  <c r="C31" i="11"/>
  <c r="B31" i="11"/>
  <c r="Q30" i="11"/>
  <c r="P30" i="11"/>
  <c r="O30" i="11"/>
  <c r="N30" i="11"/>
  <c r="K30" i="11"/>
  <c r="J30" i="11"/>
  <c r="I30" i="11"/>
  <c r="H30" i="11"/>
  <c r="E30" i="11"/>
  <c r="D30" i="11"/>
  <c r="C30" i="11"/>
  <c r="B30" i="11"/>
  <c r="P28" i="11"/>
  <c r="O28" i="11"/>
  <c r="N28" i="11"/>
  <c r="Q26" i="11"/>
  <c r="P26" i="11"/>
  <c r="O26" i="11"/>
  <c r="N26" i="11"/>
  <c r="Q25" i="11"/>
  <c r="P25" i="11"/>
  <c r="O25" i="11"/>
  <c r="N25" i="11"/>
  <c r="N27" i="11" s="1"/>
  <c r="Q24" i="11"/>
  <c r="Q49" i="11" s="1"/>
  <c r="P24" i="11"/>
  <c r="O24" i="11"/>
  <c r="O44" i="11" s="1"/>
  <c r="N24" i="11"/>
  <c r="H77" i="10"/>
  <c r="J74" i="10"/>
  <c r="I74" i="10"/>
  <c r="H74" i="10"/>
  <c r="K71" i="10"/>
  <c r="J71" i="10"/>
  <c r="J70" i="10"/>
  <c r="I70" i="10"/>
  <c r="H70" i="10"/>
  <c r="J66" i="10"/>
  <c r="I66" i="10"/>
  <c r="H66" i="10"/>
  <c r="J65" i="10"/>
  <c r="I65" i="10"/>
  <c r="H65" i="10"/>
  <c r="I64" i="10"/>
  <c r="K62" i="10"/>
  <c r="J62" i="10"/>
  <c r="I62" i="10"/>
  <c r="H62" i="10"/>
  <c r="J61" i="10"/>
  <c r="I61" i="10"/>
  <c r="K59" i="10"/>
  <c r="K74" i="10" s="1"/>
  <c r="J59" i="10"/>
  <c r="I59" i="10"/>
  <c r="H59" i="10"/>
  <c r="K58" i="10"/>
  <c r="K61" i="10" s="1"/>
  <c r="J58" i="10"/>
  <c r="J60" i="10" s="1"/>
  <c r="I58" i="10"/>
  <c r="I60" i="10" s="1"/>
  <c r="H58" i="10"/>
  <c r="H60" i="10" s="1"/>
  <c r="E58" i="10"/>
  <c r="J69" i="10" s="1"/>
  <c r="D58" i="10"/>
  <c r="C58" i="10"/>
  <c r="I69" i="10" s="1"/>
  <c r="B58" i="10"/>
  <c r="K57" i="10"/>
  <c r="J57" i="10"/>
  <c r="I57" i="10"/>
  <c r="H57" i="10"/>
  <c r="E57" i="10"/>
  <c r="D57" i="10"/>
  <c r="C57" i="10"/>
  <c r="B57" i="10"/>
  <c r="K56" i="10"/>
  <c r="J56" i="10"/>
  <c r="I56" i="10"/>
  <c r="H56" i="10"/>
  <c r="E56" i="10"/>
  <c r="D56" i="10"/>
  <c r="C56" i="10"/>
  <c r="B56" i="10"/>
  <c r="K55" i="10"/>
  <c r="J55" i="10"/>
  <c r="I55" i="10"/>
  <c r="H55" i="10"/>
  <c r="E55" i="10"/>
  <c r="D55" i="10"/>
  <c r="C55" i="10"/>
  <c r="B55" i="10"/>
  <c r="K54" i="10"/>
  <c r="J54" i="10"/>
  <c r="I54" i="10"/>
  <c r="H54" i="10"/>
  <c r="E54" i="10"/>
  <c r="D54" i="10"/>
  <c r="C54" i="10"/>
  <c r="B54" i="10"/>
  <c r="K53" i="10"/>
  <c r="J53" i="10"/>
  <c r="I53" i="10"/>
  <c r="I68" i="10" s="1"/>
  <c r="H53" i="10"/>
  <c r="H68" i="10" s="1"/>
  <c r="E53" i="10"/>
  <c r="D53" i="10"/>
  <c r="C53" i="10"/>
  <c r="B53" i="10"/>
  <c r="K52" i="10"/>
  <c r="J67" i="10" s="1"/>
  <c r="J52" i="10"/>
  <c r="I52" i="10"/>
  <c r="I67" i="10" s="1"/>
  <c r="H52" i="10"/>
  <c r="H67" i="10" s="1"/>
  <c r="E52" i="10"/>
  <c r="D52" i="10"/>
  <c r="C52" i="10"/>
  <c r="B52" i="10"/>
  <c r="Q51" i="10"/>
  <c r="K51" i="10"/>
  <c r="J64" i="10" s="1"/>
  <c r="J51" i="10"/>
  <c r="I51" i="10"/>
  <c r="H51" i="10"/>
  <c r="H64" i="10" s="1"/>
  <c r="E51" i="10"/>
  <c r="D51" i="10"/>
  <c r="C51" i="10"/>
  <c r="B51" i="10"/>
  <c r="J50" i="10"/>
  <c r="I50" i="10"/>
  <c r="H50" i="10"/>
  <c r="Q48" i="10"/>
  <c r="P48" i="10"/>
  <c r="Q47" i="10"/>
  <c r="P47" i="10"/>
  <c r="K46" i="10"/>
  <c r="J46" i="10"/>
  <c r="I46" i="10"/>
  <c r="H46" i="10"/>
  <c r="Q45" i="10"/>
  <c r="K45" i="10"/>
  <c r="J45" i="10"/>
  <c r="I45" i="10"/>
  <c r="H45" i="10"/>
  <c r="Q44" i="10"/>
  <c r="P44" i="10"/>
  <c r="K44" i="10"/>
  <c r="J44" i="10"/>
  <c r="I44" i="10"/>
  <c r="H44" i="10"/>
  <c r="P43" i="10"/>
  <c r="N43" i="10"/>
  <c r="K43" i="10"/>
  <c r="J43" i="10"/>
  <c r="I43" i="10"/>
  <c r="H43" i="10"/>
  <c r="Q42" i="10"/>
  <c r="P42" i="10"/>
  <c r="O42" i="10"/>
  <c r="N42" i="10"/>
  <c r="K42" i="10"/>
  <c r="J42" i="10"/>
  <c r="I42" i="10"/>
  <c r="H42" i="10"/>
  <c r="Q41" i="10"/>
  <c r="P41" i="10"/>
  <c r="O41" i="10"/>
  <c r="N41" i="10"/>
  <c r="K41" i="10"/>
  <c r="J41" i="10"/>
  <c r="I41" i="10"/>
  <c r="H41" i="10"/>
  <c r="E41" i="10"/>
  <c r="D41" i="10"/>
  <c r="C41" i="10"/>
  <c r="B41" i="10"/>
  <c r="Q40" i="10"/>
  <c r="P40" i="10"/>
  <c r="O40" i="10"/>
  <c r="N40" i="10"/>
  <c r="K40" i="10"/>
  <c r="J40" i="10"/>
  <c r="I40" i="10"/>
  <c r="H40" i="10"/>
  <c r="E40" i="10"/>
  <c r="D40" i="10"/>
  <c r="C40" i="10"/>
  <c r="B40" i="10"/>
  <c r="Q39" i="10"/>
  <c r="P39" i="10"/>
  <c r="O39" i="10"/>
  <c r="N39" i="10"/>
  <c r="K39" i="10"/>
  <c r="J39" i="10"/>
  <c r="I39" i="10"/>
  <c r="H39" i="10"/>
  <c r="E39" i="10"/>
  <c r="D39" i="10"/>
  <c r="C39" i="10"/>
  <c r="B39" i="10"/>
  <c r="Q38" i="10"/>
  <c r="P38" i="10"/>
  <c r="O38" i="10"/>
  <c r="N38" i="10"/>
  <c r="K38" i="10"/>
  <c r="J38" i="10"/>
  <c r="I38" i="10"/>
  <c r="H38" i="10"/>
  <c r="E38" i="10"/>
  <c r="D38" i="10"/>
  <c r="C38" i="10"/>
  <c r="B38" i="10"/>
  <c r="Q37" i="10"/>
  <c r="P37" i="10"/>
  <c r="O37" i="10"/>
  <c r="N37" i="10"/>
  <c r="K37" i="10"/>
  <c r="J37" i="10"/>
  <c r="I37" i="10"/>
  <c r="H37" i="10"/>
  <c r="E37" i="10"/>
  <c r="D37" i="10"/>
  <c r="C37" i="10"/>
  <c r="B37" i="10"/>
  <c r="Q36" i="10"/>
  <c r="P36" i="10"/>
  <c r="O36" i="10"/>
  <c r="N36" i="10"/>
  <c r="K36" i="10"/>
  <c r="J36" i="10"/>
  <c r="I36" i="10"/>
  <c r="H36" i="10"/>
  <c r="E36" i="10"/>
  <c r="D36" i="10"/>
  <c r="C36" i="10"/>
  <c r="B36" i="10"/>
  <c r="Q35" i="10"/>
  <c r="P35" i="10"/>
  <c r="O35" i="10"/>
  <c r="N35" i="10"/>
  <c r="K35" i="10"/>
  <c r="J35" i="10"/>
  <c r="I35" i="10"/>
  <c r="H35" i="10"/>
  <c r="E35" i="10"/>
  <c r="D35" i="10"/>
  <c r="C35" i="10"/>
  <c r="B35" i="10"/>
  <c r="Q34" i="10"/>
  <c r="P34" i="10"/>
  <c r="O34" i="10"/>
  <c r="N34" i="10"/>
  <c r="K34" i="10"/>
  <c r="J34" i="10"/>
  <c r="I34" i="10"/>
  <c r="H34" i="10"/>
  <c r="E34" i="10"/>
  <c r="D34" i="10"/>
  <c r="C34" i="10"/>
  <c r="B34" i="10"/>
  <c r="Q33" i="10"/>
  <c r="P33" i="10"/>
  <c r="O33" i="10"/>
  <c r="N33" i="10"/>
  <c r="K33" i="10"/>
  <c r="J33" i="10"/>
  <c r="I33" i="10"/>
  <c r="H33" i="10"/>
  <c r="E33" i="10"/>
  <c r="D33" i="10"/>
  <c r="C33" i="10"/>
  <c r="B33" i="10"/>
  <c r="Q32" i="10"/>
  <c r="P32" i="10"/>
  <c r="O32" i="10"/>
  <c r="N32" i="10"/>
  <c r="K32" i="10"/>
  <c r="J32" i="10"/>
  <c r="I32" i="10"/>
  <c r="H32" i="10"/>
  <c r="E32" i="10"/>
  <c r="D32" i="10"/>
  <c r="C32" i="10"/>
  <c r="B32" i="10"/>
  <c r="Q31" i="10"/>
  <c r="P31" i="10"/>
  <c r="O31" i="10"/>
  <c r="N31" i="10"/>
  <c r="K31" i="10"/>
  <c r="J31" i="10"/>
  <c r="I31" i="10"/>
  <c r="H31" i="10"/>
  <c r="E31" i="10"/>
  <c r="D31" i="10"/>
  <c r="C31" i="10"/>
  <c r="B31" i="10"/>
  <c r="Q30" i="10"/>
  <c r="P30" i="10"/>
  <c r="O30" i="10"/>
  <c r="N30" i="10"/>
  <c r="K30" i="10"/>
  <c r="J30" i="10"/>
  <c r="I30" i="10"/>
  <c r="H30" i="10"/>
  <c r="E30" i="10"/>
  <c r="D30" i="10"/>
  <c r="C30" i="10"/>
  <c r="B30" i="10"/>
  <c r="Q28" i="10"/>
  <c r="Q27" i="10"/>
  <c r="Q26" i="10"/>
  <c r="P26" i="10"/>
  <c r="O26" i="10"/>
  <c r="N26" i="10"/>
  <c r="Q25" i="10"/>
  <c r="P25" i="10"/>
  <c r="O25" i="10"/>
  <c r="N25" i="10"/>
  <c r="Q24" i="10"/>
  <c r="Q49" i="10" s="1"/>
  <c r="P24" i="10"/>
  <c r="O24" i="10"/>
  <c r="I71" i="10" s="1"/>
  <c r="N24" i="10"/>
  <c r="N51" i="10" s="1"/>
  <c r="B24" i="10"/>
  <c r="B6" i="10"/>
  <c r="I77" i="9"/>
  <c r="H77" i="9"/>
  <c r="K74" i="9"/>
  <c r="J74" i="9"/>
  <c r="H74" i="9"/>
  <c r="H64" i="9"/>
  <c r="J61" i="9"/>
  <c r="I61" i="9"/>
  <c r="H61" i="9"/>
  <c r="K60" i="9"/>
  <c r="J60" i="9"/>
  <c r="K59" i="9"/>
  <c r="J59" i="9"/>
  <c r="I59" i="9"/>
  <c r="I74" i="9" s="1"/>
  <c r="H59" i="9"/>
  <c r="K58" i="9"/>
  <c r="K61" i="9" s="1"/>
  <c r="J58" i="9"/>
  <c r="I58" i="9"/>
  <c r="I60" i="9" s="1"/>
  <c r="H58" i="9"/>
  <c r="H60" i="9" s="1"/>
  <c r="E58" i="9"/>
  <c r="D58" i="9"/>
  <c r="C58" i="9"/>
  <c r="B58" i="9"/>
  <c r="K57" i="9"/>
  <c r="J57" i="9"/>
  <c r="I57" i="9"/>
  <c r="H57" i="9"/>
  <c r="E57" i="9"/>
  <c r="D57" i="9"/>
  <c r="C57" i="9"/>
  <c r="B57" i="9"/>
  <c r="K56" i="9"/>
  <c r="J56" i="9"/>
  <c r="I56" i="9"/>
  <c r="H56" i="9"/>
  <c r="E56" i="9"/>
  <c r="D56" i="9"/>
  <c r="C56" i="9"/>
  <c r="B56" i="9"/>
  <c r="K55" i="9"/>
  <c r="J55" i="9"/>
  <c r="I55" i="9"/>
  <c r="H55" i="9"/>
  <c r="E55" i="9"/>
  <c r="D55" i="9"/>
  <c r="C55" i="9"/>
  <c r="B55" i="9"/>
  <c r="K54" i="9"/>
  <c r="J54" i="9"/>
  <c r="I54" i="9"/>
  <c r="H54" i="9"/>
  <c r="E54" i="9"/>
  <c r="D54" i="9"/>
  <c r="C54" i="9"/>
  <c r="B54" i="9"/>
  <c r="K53" i="9"/>
  <c r="J53" i="9"/>
  <c r="I53" i="9"/>
  <c r="H53" i="9"/>
  <c r="E53" i="9"/>
  <c r="D53" i="9"/>
  <c r="C53" i="9"/>
  <c r="B53" i="9"/>
  <c r="K52" i="9"/>
  <c r="J52" i="9"/>
  <c r="I52" i="9"/>
  <c r="H52" i="9"/>
  <c r="E52" i="9"/>
  <c r="D52" i="9"/>
  <c r="C52" i="9"/>
  <c r="B52" i="9"/>
  <c r="Q51" i="9"/>
  <c r="K51" i="9"/>
  <c r="J51" i="9"/>
  <c r="I51" i="9"/>
  <c r="H51" i="9"/>
  <c r="E51" i="9"/>
  <c r="D51" i="9"/>
  <c r="C51" i="9"/>
  <c r="B51" i="9"/>
  <c r="J50" i="9"/>
  <c r="I50" i="9"/>
  <c r="H50" i="9"/>
  <c r="P49" i="9"/>
  <c r="O49" i="9"/>
  <c r="N48" i="9"/>
  <c r="P47" i="9"/>
  <c r="O47" i="9"/>
  <c r="O46" i="9"/>
  <c r="N46" i="9"/>
  <c r="K46" i="9"/>
  <c r="J46" i="9"/>
  <c r="I46" i="9"/>
  <c r="H46" i="9"/>
  <c r="O45" i="9"/>
  <c r="K45" i="9"/>
  <c r="J45" i="9"/>
  <c r="I45" i="9"/>
  <c r="H45" i="9"/>
  <c r="K44" i="9"/>
  <c r="J44" i="9"/>
  <c r="I44" i="9"/>
  <c r="H44" i="9"/>
  <c r="K43" i="9"/>
  <c r="J43" i="9"/>
  <c r="I43" i="9"/>
  <c r="H43" i="9"/>
  <c r="Q42" i="9"/>
  <c r="P42" i="9"/>
  <c r="O42" i="9"/>
  <c r="N42" i="9"/>
  <c r="K42" i="9"/>
  <c r="J42" i="9"/>
  <c r="I42" i="9"/>
  <c r="H42" i="9"/>
  <c r="Q41" i="9"/>
  <c r="P41" i="9"/>
  <c r="O41" i="9"/>
  <c r="N41" i="9"/>
  <c r="K41" i="9"/>
  <c r="J41" i="9"/>
  <c r="I41" i="9"/>
  <c r="H41" i="9"/>
  <c r="E41" i="9"/>
  <c r="D41" i="9"/>
  <c r="C41" i="9"/>
  <c r="B41" i="9"/>
  <c r="Q40" i="9"/>
  <c r="P40" i="9"/>
  <c r="O40" i="9"/>
  <c r="N40" i="9"/>
  <c r="K40" i="9"/>
  <c r="J40" i="9"/>
  <c r="I40" i="9"/>
  <c r="H40" i="9"/>
  <c r="E40" i="9"/>
  <c r="D40" i="9"/>
  <c r="C40" i="9"/>
  <c r="B40" i="9"/>
  <c r="Q39" i="9"/>
  <c r="P39" i="9"/>
  <c r="O39" i="9"/>
  <c r="N39" i="9"/>
  <c r="K39" i="9"/>
  <c r="J39" i="9"/>
  <c r="I39" i="9"/>
  <c r="H39" i="9"/>
  <c r="E39" i="9"/>
  <c r="D39" i="9"/>
  <c r="C39" i="9"/>
  <c r="B39" i="9"/>
  <c r="Q38" i="9"/>
  <c r="P38" i="9"/>
  <c r="O38" i="9"/>
  <c r="N38" i="9"/>
  <c r="K38" i="9"/>
  <c r="J38" i="9"/>
  <c r="I38" i="9"/>
  <c r="H38" i="9"/>
  <c r="E38" i="9"/>
  <c r="D38" i="9"/>
  <c r="C38" i="9"/>
  <c r="B38" i="9"/>
  <c r="Q37" i="9"/>
  <c r="P37" i="9"/>
  <c r="O37" i="9"/>
  <c r="N37" i="9"/>
  <c r="K37" i="9"/>
  <c r="J37" i="9"/>
  <c r="I37" i="9"/>
  <c r="H37" i="9"/>
  <c r="E37" i="9"/>
  <c r="D37" i="9"/>
  <c r="C37" i="9"/>
  <c r="B37" i="9"/>
  <c r="Q36" i="9"/>
  <c r="P36" i="9"/>
  <c r="O36" i="9"/>
  <c r="N36" i="9"/>
  <c r="K36" i="9"/>
  <c r="J36" i="9"/>
  <c r="I36" i="9"/>
  <c r="H36" i="9"/>
  <c r="E36" i="9"/>
  <c r="D36" i="9"/>
  <c r="C36" i="9"/>
  <c r="B36" i="9"/>
  <c r="Q35" i="9"/>
  <c r="P35" i="9"/>
  <c r="O35" i="9"/>
  <c r="N35" i="9"/>
  <c r="K35" i="9"/>
  <c r="J35" i="9"/>
  <c r="I35" i="9"/>
  <c r="H35" i="9"/>
  <c r="E35" i="9"/>
  <c r="D35" i="9"/>
  <c r="C35" i="9"/>
  <c r="B35" i="9"/>
  <c r="Q34" i="9"/>
  <c r="P34" i="9"/>
  <c r="O34" i="9"/>
  <c r="N34" i="9"/>
  <c r="K34" i="9"/>
  <c r="J34" i="9"/>
  <c r="I34" i="9"/>
  <c r="H34" i="9"/>
  <c r="E34" i="9"/>
  <c r="D34" i="9"/>
  <c r="C34" i="9"/>
  <c r="B34" i="9"/>
  <c r="Q33" i="9"/>
  <c r="P33" i="9"/>
  <c r="O33" i="9"/>
  <c r="N33" i="9"/>
  <c r="K33" i="9"/>
  <c r="J33" i="9"/>
  <c r="I33" i="9"/>
  <c r="H33" i="9"/>
  <c r="E33" i="9"/>
  <c r="D33" i="9"/>
  <c r="C33" i="9"/>
  <c r="B33" i="9"/>
  <c r="Q32" i="9"/>
  <c r="P32" i="9"/>
  <c r="O32" i="9"/>
  <c r="N32" i="9"/>
  <c r="K32" i="9"/>
  <c r="J32" i="9"/>
  <c r="I32" i="9"/>
  <c r="H32" i="9"/>
  <c r="E32" i="9"/>
  <c r="D32" i="9"/>
  <c r="C32" i="9"/>
  <c r="B32" i="9"/>
  <c r="Q31" i="9"/>
  <c r="P31" i="9"/>
  <c r="O31" i="9"/>
  <c r="N31" i="9"/>
  <c r="K31" i="9"/>
  <c r="J31" i="9"/>
  <c r="I31" i="9"/>
  <c r="H31" i="9"/>
  <c r="E31" i="9"/>
  <c r="D31" i="9"/>
  <c r="C31" i="9"/>
  <c r="B31" i="9"/>
  <c r="Q30" i="9"/>
  <c r="P30" i="9"/>
  <c r="O30" i="9"/>
  <c r="N30" i="9"/>
  <c r="K30" i="9"/>
  <c r="J30" i="9"/>
  <c r="I30" i="9"/>
  <c r="H30" i="9"/>
  <c r="E30" i="9"/>
  <c r="D30" i="9"/>
  <c r="C30" i="9"/>
  <c r="B30" i="9"/>
  <c r="Q26" i="9"/>
  <c r="P26" i="9"/>
  <c r="O26" i="9"/>
  <c r="N26" i="9"/>
  <c r="Q25" i="9"/>
  <c r="P25" i="9"/>
  <c r="O25" i="9"/>
  <c r="O27" i="9" s="1"/>
  <c r="N25" i="9"/>
  <c r="N27" i="9" s="1"/>
  <c r="Q24" i="9"/>
  <c r="Q48" i="9" s="1"/>
  <c r="P24" i="9"/>
  <c r="O24" i="9"/>
  <c r="O48" i="9" s="1"/>
  <c r="N24" i="9"/>
  <c r="N47" i="9" s="1"/>
  <c r="B6" i="9"/>
  <c r="K77" i="9" s="1"/>
  <c r="I77" i="8"/>
  <c r="K74" i="8"/>
  <c r="J74" i="8"/>
  <c r="I62" i="8"/>
  <c r="H62" i="8"/>
  <c r="K61" i="8"/>
  <c r="J61" i="8"/>
  <c r="I61" i="8"/>
  <c r="H61" i="8"/>
  <c r="K59" i="8"/>
  <c r="J59" i="8"/>
  <c r="I59" i="8"/>
  <c r="I74" i="8" s="1"/>
  <c r="H59" i="8"/>
  <c r="H74" i="8" s="1"/>
  <c r="K58" i="8"/>
  <c r="K60" i="8" s="1"/>
  <c r="J58" i="8"/>
  <c r="J60" i="8" s="1"/>
  <c r="I58" i="8"/>
  <c r="H58" i="8"/>
  <c r="H60" i="8" s="1"/>
  <c r="E58" i="8"/>
  <c r="D58" i="8"/>
  <c r="C58" i="8"/>
  <c r="B58" i="8"/>
  <c r="K57" i="8"/>
  <c r="J57" i="8"/>
  <c r="I57" i="8"/>
  <c r="H57" i="8"/>
  <c r="E57" i="8"/>
  <c r="D57" i="8"/>
  <c r="C57" i="8"/>
  <c r="B57" i="8"/>
  <c r="K56" i="8"/>
  <c r="J56" i="8"/>
  <c r="I56" i="8"/>
  <c r="H56" i="8"/>
  <c r="E56" i="8"/>
  <c r="D56" i="8"/>
  <c r="C56" i="8"/>
  <c r="B56" i="8"/>
  <c r="K55" i="8"/>
  <c r="J55" i="8"/>
  <c r="I55" i="8"/>
  <c r="H55" i="8"/>
  <c r="E55" i="8"/>
  <c r="D55" i="8"/>
  <c r="C55" i="8"/>
  <c r="B55" i="8"/>
  <c r="K54" i="8"/>
  <c r="J54" i="8"/>
  <c r="I54" i="8"/>
  <c r="H54" i="8"/>
  <c r="E54" i="8"/>
  <c r="D54" i="8"/>
  <c r="C54" i="8"/>
  <c r="B54" i="8"/>
  <c r="K53" i="8"/>
  <c r="J53" i="8"/>
  <c r="I53" i="8"/>
  <c r="H53" i="8"/>
  <c r="E53" i="8"/>
  <c r="D53" i="8"/>
  <c r="C53" i="8"/>
  <c r="B53" i="8"/>
  <c r="K52" i="8"/>
  <c r="J52" i="8"/>
  <c r="I52" i="8"/>
  <c r="H52" i="8"/>
  <c r="E52" i="8"/>
  <c r="D52" i="8"/>
  <c r="C52" i="8"/>
  <c r="B52" i="8"/>
  <c r="Q51" i="8"/>
  <c r="N51" i="8"/>
  <c r="K51" i="8"/>
  <c r="J51" i="8"/>
  <c r="I51" i="8"/>
  <c r="H51" i="8"/>
  <c r="E51" i="8"/>
  <c r="J50" i="8"/>
  <c r="I50" i="8"/>
  <c r="H50" i="8"/>
  <c r="P49" i="8"/>
  <c r="P48" i="8"/>
  <c r="Q47" i="8"/>
  <c r="P47" i="8"/>
  <c r="P46" i="8"/>
  <c r="N46" i="8"/>
  <c r="K46" i="8"/>
  <c r="J46" i="8"/>
  <c r="I46" i="8"/>
  <c r="H46" i="8"/>
  <c r="Q45" i="8"/>
  <c r="P45" i="8"/>
  <c r="N45" i="8"/>
  <c r="K45" i="8"/>
  <c r="J45" i="8"/>
  <c r="I45" i="8"/>
  <c r="H45" i="8"/>
  <c r="Q44" i="8"/>
  <c r="P44" i="8"/>
  <c r="K44" i="8"/>
  <c r="J44" i="8"/>
  <c r="I44" i="8"/>
  <c r="H44" i="8"/>
  <c r="P43" i="8"/>
  <c r="N43" i="8"/>
  <c r="K43" i="8"/>
  <c r="J43" i="8"/>
  <c r="I43" i="8"/>
  <c r="H43" i="8"/>
  <c r="Q42" i="8"/>
  <c r="P42" i="8"/>
  <c r="O42" i="8"/>
  <c r="N42" i="8"/>
  <c r="K42" i="8"/>
  <c r="J42" i="8"/>
  <c r="I42" i="8"/>
  <c r="H42" i="8"/>
  <c r="Q41" i="8"/>
  <c r="P41" i="8"/>
  <c r="O41" i="8"/>
  <c r="N41" i="8"/>
  <c r="K41" i="8"/>
  <c r="J41" i="8"/>
  <c r="I41" i="8"/>
  <c r="H41" i="8"/>
  <c r="E41" i="8"/>
  <c r="D41" i="8"/>
  <c r="C41" i="8"/>
  <c r="B41" i="8"/>
  <c r="Q40" i="8"/>
  <c r="P40" i="8"/>
  <c r="O40" i="8"/>
  <c r="N40" i="8"/>
  <c r="K40" i="8"/>
  <c r="J40" i="8"/>
  <c r="I40" i="8"/>
  <c r="H40" i="8"/>
  <c r="E40" i="8"/>
  <c r="D40" i="8"/>
  <c r="C40" i="8"/>
  <c r="B40" i="8"/>
  <c r="Q39" i="8"/>
  <c r="P39" i="8"/>
  <c r="O39" i="8"/>
  <c r="N39" i="8"/>
  <c r="K39" i="8"/>
  <c r="J39" i="8"/>
  <c r="I39" i="8"/>
  <c r="H39" i="8"/>
  <c r="E39" i="8"/>
  <c r="D39" i="8"/>
  <c r="C39" i="8"/>
  <c r="B39" i="8"/>
  <c r="Q38" i="8"/>
  <c r="P38" i="8"/>
  <c r="O38" i="8"/>
  <c r="N38" i="8"/>
  <c r="K38" i="8"/>
  <c r="J38" i="8"/>
  <c r="I38" i="8"/>
  <c r="H38" i="8"/>
  <c r="E38" i="8"/>
  <c r="D38" i="8"/>
  <c r="C38" i="8"/>
  <c r="B38" i="8"/>
  <c r="Q37" i="8"/>
  <c r="P37" i="8"/>
  <c r="O37" i="8"/>
  <c r="N37" i="8"/>
  <c r="K37" i="8"/>
  <c r="J37" i="8"/>
  <c r="I37" i="8"/>
  <c r="H37" i="8"/>
  <c r="E37" i="8"/>
  <c r="D37" i="8"/>
  <c r="C37" i="8"/>
  <c r="B37" i="8"/>
  <c r="Q36" i="8"/>
  <c r="P36" i="8"/>
  <c r="O36" i="8"/>
  <c r="N36" i="8"/>
  <c r="K36" i="8"/>
  <c r="J36" i="8"/>
  <c r="I36" i="8"/>
  <c r="H36" i="8"/>
  <c r="E36" i="8"/>
  <c r="D36" i="8"/>
  <c r="C36" i="8"/>
  <c r="B36" i="8"/>
  <c r="Q35" i="8"/>
  <c r="P35" i="8"/>
  <c r="O35" i="8"/>
  <c r="N35" i="8"/>
  <c r="K35" i="8"/>
  <c r="J35" i="8"/>
  <c r="I35" i="8"/>
  <c r="H35" i="8"/>
  <c r="E35" i="8"/>
  <c r="D35" i="8"/>
  <c r="C35" i="8"/>
  <c r="B35" i="8"/>
  <c r="Q34" i="8"/>
  <c r="P34" i="8"/>
  <c r="O34" i="8"/>
  <c r="N34" i="8"/>
  <c r="K34" i="8"/>
  <c r="J34" i="8"/>
  <c r="I34" i="8"/>
  <c r="H34" i="8"/>
  <c r="E34" i="8"/>
  <c r="D34" i="8"/>
  <c r="C34" i="8"/>
  <c r="B34" i="8"/>
  <c r="Q33" i="8"/>
  <c r="P33" i="8"/>
  <c r="O33" i="8"/>
  <c r="N33" i="8"/>
  <c r="K33" i="8"/>
  <c r="J33" i="8"/>
  <c r="I33" i="8"/>
  <c r="H33" i="8"/>
  <c r="E33" i="8"/>
  <c r="D33" i="8"/>
  <c r="C33" i="8"/>
  <c r="B33" i="8"/>
  <c r="Q32" i="8"/>
  <c r="P32" i="8"/>
  <c r="O32" i="8"/>
  <c r="N32" i="8"/>
  <c r="K32" i="8"/>
  <c r="J32" i="8"/>
  <c r="I32" i="8"/>
  <c r="H32" i="8"/>
  <c r="E32" i="8"/>
  <c r="D32" i="8"/>
  <c r="C32" i="8"/>
  <c r="B32" i="8"/>
  <c r="Q31" i="8"/>
  <c r="P31" i="8"/>
  <c r="O31" i="8"/>
  <c r="N31" i="8"/>
  <c r="K31" i="8"/>
  <c r="J31" i="8"/>
  <c r="I31" i="8"/>
  <c r="H31" i="8"/>
  <c r="E31" i="8"/>
  <c r="D31" i="8"/>
  <c r="C31" i="8"/>
  <c r="B31" i="8"/>
  <c r="Q30" i="8"/>
  <c r="P30" i="8"/>
  <c r="O30" i="8"/>
  <c r="N30" i="8"/>
  <c r="K30" i="8"/>
  <c r="J30" i="8"/>
  <c r="I30" i="8"/>
  <c r="H30" i="8"/>
  <c r="E30" i="8"/>
  <c r="D30" i="8"/>
  <c r="C30" i="8"/>
  <c r="B30" i="8"/>
  <c r="Q28" i="8"/>
  <c r="P28" i="8"/>
  <c r="N28" i="8"/>
  <c r="Q27" i="8"/>
  <c r="Q26" i="8"/>
  <c r="P26" i="8"/>
  <c r="O26" i="8"/>
  <c r="N26" i="8"/>
  <c r="Q25" i="8"/>
  <c r="P25" i="8"/>
  <c r="P27" i="8" s="1"/>
  <c r="O25" i="8"/>
  <c r="N25" i="8"/>
  <c r="B25" i="8"/>
  <c r="Q24" i="8"/>
  <c r="Q49" i="8" s="1"/>
  <c r="P24" i="8"/>
  <c r="O24" i="8"/>
  <c r="N24" i="8"/>
  <c r="N44" i="8" s="1"/>
  <c r="E23" i="8"/>
  <c r="D23" i="8"/>
  <c r="D51" i="8" s="1"/>
  <c r="C23" i="8"/>
  <c r="C51" i="8" s="1"/>
  <c r="B23" i="8"/>
  <c r="B51" i="8" s="1"/>
  <c r="B6" i="8"/>
  <c r="J77" i="8" s="1"/>
  <c r="J77" i="7"/>
  <c r="I77" i="7"/>
  <c r="I74" i="7"/>
  <c r="H74" i="7"/>
  <c r="K62" i="7"/>
  <c r="J62" i="7"/>
  <c r="I62" i="7"/>
  <c r="H62" i="7"/>
  <c r="H61" i="7"/>
  <c r="K59" i="7"/>
  <c r="K74" i="7" s="1"/>
  <c r="J59" i="7"/>
  <c r="J74" i="7" s="1"/>
  <c r="I59" i="7"/>
  <c r="H59" i="7"/>
  <c r="K58" i="7"/>
  <c r="K61" i="7" s="1"/>
  <c r="J58" i="7"/>
  <c r="J61" i="7" s="1"/>
  <c r="I58" i="7"/>
  <c r="I61" i="7" s="1"/>
  <c r="H58" i="7"/>
  <c r="H60" i="7" s="1"/>
  <c r="E58" i="7"/>
  <c r="D58" i="7"/>
  <c r="C58" i="7"/>
  <c r="B58" i="7"/>
  <c r="K57" i="7"/>
  <c r="J57" i="7"/>
  <c r="I57" i="7"/>
  <c r="H57" i="7"/>
  <c r="E57" i="7"/>
  <c r="D57" i="7"/>
  <c r="C57" i="7"/>
  <c r="B57" i="7"/>
  <c r="K56" i="7"/>
  <c r="J56" i="7"/>
  <c r="I56" i="7"/>
  <c r="H56" i="7"/>
  <c r="E56" i="7"/>
  <c r="D56" i="7"/>
  <c r="C56" i="7"/>
  <c r="B56" i="7"/>
  <c r="K55" i="7"/>
  <c r="J55" i="7"/>
  <c r="I55" i="7"/>
  <c r="H55" i="7"/>
  <c r="E55" i="7"/>
  <c r="D55" i="7"/>
  <c r="C55" i="7"/>
  <c r="B55" i="7"/>
  <c r="K54" i="7"/>
  <c r="J54" i="7"/>
  <c r="I54" i="7"/>
  <c r="H54" i="7"/>
  <c r="E54" i="7"/>
  <c r="D54" i="7"/>
  <c r="C54" i="7"/>
  <c r="B54" i="7"/>
  <c r="K53" i="7"/>
  <c r="J53" i="7"/>
  <c r="I53" i="7"/>
  <c r="H53" i="7"/>
  <c r="E53" i="7"/>
  <c r="D53" i="7"/>
  <c r="C53" i="7"/>
  <c r="B53" i="7"/>
  <c r="K52" i="7"/>
  <c r="J52" i="7"/>
  <c r="I52" i="7"/>
  <c r="H52" i="7"/>
  <c r="E52" i="7"/>
  <c r="D52" i="7"/>
  <c r="C52" i="7"/>
  <c r="B52" i="7"/>
  <c r="N51" i="7"/>
  <c r="K51" i="7"/>
  <c r="J51" i="7"/>
  <c r="I51" i="7"/>
  <c r="H51" i="7"/>
  <c r="E51" i="7"/>
  <c r="D51" i="7"/>
  <c r="C51" i="7"/>
  <c r="B51" i="7"/>
  <c r="J50" i="7"/>
  <c r="I50" i="7"/>
  <c r="H50" i="7"/>
  <c r="Q49" i="7"/>
  <c r="N49" i="7"/>
  <c r="Q48" i="7"/>
  <c r="N48" i="7"/>
  <c r="N47" i="7"/>
  <c r="Q46" i="7"/>
  <c r="N46" i="7"/>
  <c r="K46" i="7"/>
  <c r="J46" i="7"/>
  <c r="I46" i="7"/>
  <c r="H46" i="7"/>
  <c r="Q45" i="7"/>
  <c r="N45" i="7"/>
  <c r="K45" i="7"/>
  <c r="J45" i="7"/>
  <c r="I45" i="7"/>
  <c r="H45" i="7"/>
  <c r="Q44" i="7"/>
  <c r="N44" i="7"/>
  <c r="K44" i="7"/>
  <c r="J44" i="7"/>
  <c r="I44" i="7"/>
  <c r="H44" i="7"/>
  <c r="Q43" i="7"/>
  <c r="N43" i="7"/>
  <c r="K43" i="7"/>
  <c r="J43" i="7"/>
  <c r="I43" i="7"/>
  <c r="H43" i="7"/>
  <c r="Q42" i="7"/>
  <c r="P42" i="7"/>
  <c r="O42" i="7"/>
  <c r="N42" i="7"/>
  <c r="K42" i="7"/>
  <c r="J42" i="7"/>
  <c r="I42" i="7"/>
  <c r="H42" i="7"/>
  <c r="Q41" i="7"/>
  <c r="P41" i="7"/>
  <c r="O41" i="7"/>
  <c r="N41" i="7"/>
  <c r="K41" i="7"/>
  <c r="J41" i="7"/>
  <c r="I41" i="7"/>
  <c r="H41" i="7"/>
  <c r="E41" i="7"/>
  <c r="D41" i="7"/>
  <c r="C41" i="7"/>
  <c r="B41" i="7"/>
  <c r="Q40" i="7"/>
  <c r="P40" i="7"/>
  <c r="O40" i="7"/>
  <c r="N40" i="7"/>
  <c r="K40" i="7"/>
  <c r="J40" i="7"/>
  <c r="I40" i="7"/>
  <c r="H40" i="7"/>
  <c r="E40" i="7"/>
  <c r="D40" i="7"/>
  <c r="C40" i="7"/>
  <c r="B40" i="7"/>
  <c r="Q39" i="7"/>
  <c r="P39" i="7"/>
  <c r="O39" i="7"/>
  <c r="N39" i="7"/>
  <c r="K39" i="7"/>
  <c r="J39" i="7"/>
  <c r="I39" i="7"/>
  <c r="H39" i="7"/>
  <c r="E39" i="7"/>
  <c r="D39" i="7"/>
  <c r="C39" i="7"/>
  <c r="B39" i="7"/>
  <c r="Q38" i="7"/>
  <c r="P38" i="7"/>
  <c r="O38" i="7"/>
  <c r="N38" i="7"/>
  <c r="K38" i="7"/>
  <c r="J38" i="7"/>
  <c r="I38" i="7"/>
  <c r="H38" i="7"/>
  <c r="E38" i="7"/>
  <c r="D38" i="7"/>
  <c r="C38" i="7"/>
  <c r="B38" i="7"/>
  <c r="Q37" i="7"/>
  <c r="P37" i="7"/>
  <c r="O37" i="7"/>
  <c r="N37" i="7"/>
  <c r="K37" i="7"/>
  <c r="J37" i="7"/>
  <c r="I37" i="7"/>
  <c r="H37" i="7"/>
  <c r="E37" i="7"/>
  <c r="D37" i="7"/>
  <c r="C37" i="7"/>
  <c r="B37" i="7"/>
  <c r="Q36" i="7"/>
  <c r="P36" i="7"/>
  <c r="O36" i="7"/>
  <c r="N36" i="7"/>
  <c r="K36" i="7"/>
  <c r="J36" i="7"/>
  <c r="I36" i="7"/>
  <c r="H36" i="7"/>
  <c r="E36" i="7"/>
  <c r="D36" i="7"/>
  <c r="C36" i="7"/>
  <c r="B36" i="7"/>
  <c r="Q35" i="7"/>
  <c r="P35" i="7"/>
  <c r="O35" i="7"/>
  <c r="N35" i="7"/>
  <c r="K35" i="7"/>
  <c r="J35" i="7"/>
  <c r="I35" i="7"/>
  <c r="H35" i="7"/>
  <c r="E35" i="7"/>
  <c r="D35" i="7"/>
  <c r="C35" i="7"/>
  <c r="B35" i="7"/>
  <c r="Q34" i="7"/>
  <c r="P34" i="7"/>
  <c r="O34" i="7"/>
  <c r="N34" i="7"/>
  <c r="K34" i="7"/>
  <c r="J34" i="7"/>
  <c r="I34" i="7"/>
  <c r="H34" i="7"/>
  <c r="E34" i="7"/>
  <c r="D34" i="7"/>
  <c r="C34" i="7"/>
  <c r="B34" i="7"/>
  <c r="Q33" i="7"/>
  <c r="P33" i="7"/>
  <c r="O33" i="7"/>
  <c r="N33" i="7"/>
  <c r="K33" i="7"/>
  <c r="J33" i="7"/>
  <c r="I33" i="7"/>
  <c r="H33" i="7"/>
  <c r="E33" i="7"/>
  <c r="D33" i="7"/>
  <c r="C33" i="7"/>
  <c r="B33" i="7"/>
  <c r="Q32" i="7"/>
  <c r="P32" i="7"/>
  <c r="O32" i="7"/>
  <c r="N32" i="7"/>
  <c r="K32" i="7"/>
  <c r="J32" i="7"/>
  <c r="I32" i="7"/>
  <c r="H32" i="7"/>
  <c r="E32" i="7"/>
  <c r="D32" i="7"/>
  <c r="C32" i="7"/>
  <c r="B32" i="7"/>
  <c r="Q31" i="7"/>
  <c r="P31" i="7"/>
  <c r="O31" i="7"/>
  <c r="N31" i="7"/>
  <c r="K31" i="7"/>
  <c r="J31" i="7"/>
  <c r="I31" i="7"/>
  <c r="H31" i="7"/>
  <c r="E31" i="7"/>
  <c r="D31" i="7"/>
  <c r="C31" i="7"/>
  <c r="B31" i="7"/>
  <c r="Q30" i="7"/>
  <c r="P30" i="7"/>
  <c r="O30" i="7"/>
  <c r="N30" i="7"/>
  <c r="K30" i="7"/>
  <c r="J30" i="7"/>
  <c r="I30" i="7"/>
  <c r="H30" i="7"/>
  <c r="E30" i="7"/>
  <c r="D30" i="7"/>
  <c r="C30" i="7"/>
  <c r="B30" i="7"/>
  <c r="Q26" i="7"/>
  <c r="P26" i="7"/>
  <c r="O26" i="7"/>
  <c r="N26" i="7"/>
  <c r="Q25" i="7"/>
  <c r="Q27" i="7" s="1"/>
  <c r="P25" i="7"/>
  <c r="O25" i="7"/>
  <c r="N25" i="7"/>
  <c r="N27" i="7" s="1"/>
  <c r="Q24" i="7"/>
  <c r="Q47" i="7" s="1"/>
  <c r="P24" i="7"/>
  <c r="P45" i="7" s="1"/>
  <c r="O24" i="7"/>
  <c r="O51" i="7" s="1"/>
  <c r="N24" i="7"/>
  <c r="B6" i="7"/>
  <c r="K77" i="7" s="1"/>
  <c r="C2" i="7"/>
  <c r="C1" i="7"/>
  <c r="H77" i="6"/>
  <c r="K74" i="6"/>
  <c r="J74" i="6"/>
  <c r="I74" i="6"/>
  <c r="H74" i="6"/>
  <c r="J63" i="6"/>
  <c r="I63" i="6"/>
  <c r="K62" i="6"/>
  <c r="J62" i="6"/>
  <c r="I62" i="6"/>
  <c r="H62" i="6"/>
  <c r="H64" i="6" s="1"/>
  <c r="J60" i="6"/>
  <c r="I60" i="6"/>
  <c r="K58" i="6"/>
  <c r="K63" i="6" s="1"/>
  <c r="J58" i="6"/>
  <c r="I58" i="6"/>
  <c r="H58" i="6"/>
  <c r="H63" i="6" s="1"/>
  <c r="E58" i="6"/>
  <c r="D58" i="6"/>
  <c r="C58" i="6"/>
  <c r="B58" i="6"/>
  <c r="K57" i="6"/>
  <c r="J57" i="6"/>
  <c r="I57" i="6"/>
  <c r="H57" i="6"/>
  <c r="E57" i="6"/>
  <c r="D57" i="6"/>
  <c r="C57" i="6"/>
  <c r="B57" i="6"/>
  <c r="K56" i="6"/>
  <c r="J56" i="6"/>
  <c r="I56" i="6"/>
  <c r="H56" i="6"/>
  <c r="E56" i="6"/>
  <c r="D56" i="6"/>
  <c r="C56" i="6"/>
  <c r="B56" i="6"/>
  <c r="K55" i="6"/>
  <c r="J55" i="6"/>
  <c r="I55" i="6"/>
  <c r="H55" i="6"/>
  <c r="E55" i="6"/>
  <c r="D55" i="6"/>
  <c r="C55" i="6"/>
  <c r="B55" i="6"/>
  <c r="K54" i="6"/>
  <c r="J54" i="6"/>
  <c r="I54" i="6"/>
  <c r="H54" i="6"/>
  <c r="E54" i="6"/>
  <c r="D54" i="6"/>
  <c r="C54" i="6"/>
  <c r="B54" i="6"/>
  <c r="K53" i="6"/>
  <c r="J53" i="6"/>
  <c r="I53" i="6"/>
  <c r="H53" i="6"/>
  <c r="E53" i="6"/>
  <c r="D53" i="6"/>
  <c r="C53" i="6"/>
  <c r="B53" i="6"/>
  <c r="K52" i="6"/>
  <c r="J52" i="6"/>
  <c r="I52" i="6"/>
  <c r="H52" i="6"/>
  <c r="E52" i="6"/>
  <c r="D52" i="6"/>
  <c r="C52" i="6"/>
  <c r="B52" i="6"/>
  <c r="P51" i="6"/>
  <c r="K51" i="6"/>
  <c r="J51" i="6"/>
  <c r="I51" i="6"/>
  <c r="H51" i="6"/>
  <c r="E51" i="6"/>
  <c r="D51" i="6"/>
  <c r="C51" i="6"/>
  <c r="B51" i="6"/>
  <c r="J50" i="6"/>
  <c r="I50" i="6"/>
  <c r="H50" i="6"/>
  <c r="Q48" i="6"/>
  <c r="O48" i="6"/>
  <c r="N48" i="6"/>
  <c r="Q46" i="6"/>
  <c r="O46" i="6"/>
  <c r="N46" i="6"/>
  <c r="K46" i="6"/>
  <c r="J46" i="6"/>
  <c r="I46" i="6"/>
  <c r="H46" i="6"/>
  <c r="Q45" i="6"/>
  <c r="O45" i="6"/>
  <c r="N45" i="6"/>
  <c r="K45" i="6"/>
  <c r="J45" i="6"/>
  <c r="I45" i="6"/>
  <c r="H45" i="6"/>
  <c r="Q44" i="6"/>
  <c r="O44" i="6"/>
  <c r="N44" i="6"/>
  <c r="K44" i="6"/>
  <c r="J44" i="6"/>
  <c r="I44" i="6"/>
  <c r="H44" i="6"/>
  <c r="Q43" i="6"/>
  <c r="O43" i="6"/>
  <c r="N43" i="6"/>
  <c r="K43" i="6"/>
  <c r="J43" i="6"/>
  <c r="I43" i="6"/>
  <c r="H43" i="6"/>
  <c r="Q42" i="6"/>
  <c r="P42" i="6"/>
  <c r="O42" i="6"/>
  <c r="N42" i="6"/>
  <c r="K42" i="6"/>
  <c r="J42" i="6"/>
  <c r="I42" i="6"/>
  <c r="H42" i="6"/>
  <c r="Q41" i="6"/>
  <c r="P41" i="6"/>
  <c r="O41" i="6"/>
  <c r="N41" i="6"/>
  <c r="K41" i="6"/>
  <c r="J41" i="6"/>
  <c r="I41" i="6"/>
  <c r="H41" i="6"/>
  <c r="E41" i="6"/>
  <c r="D41" i="6"/>
  <c r="C41" i="6"/>
  <c r="B41" i="6"/>
  <c r="Q40" i="6"/>
  <c r="P40" i="6"/>
  <c r="O40" i="6"/>
  <c r="N40" i="6"/>
  <c r="K40" i="6"/>
  <c r="J40" i="6"/>
  <c r="I40" i="6"/>
  <c r="H40" i="6"/>
  <c r="E40" i="6"/>
  <c r="D40" i="6"/>
  <c r="C40" i="6"/>
  <c r="B40" i="6"/>
  <c r="Q39" i="6"/>
  <c r="P39" i="6"/>
  <c r="O39" i="6"/>
  <c r="N39" i="6"/>
  <c r="K39" i="6"/>
  <c r="J39" i="6"/>
  <c r="I39" i="6"/>
  <c r="H39" i="6"/>
  <c r="E39" i="6"/>
  <c r="D39" i="6"/>
  <c r="C39" i="6"/>
  <c r="B39" i="6"/>
  <c r="Q38" i="6"/>
  <c r="P38" i="6"/>
  <c r="O38" i="6"/>
  <c r="N38" i="6"/>
  <c r="K38" i="6"/>
  <c r="J38" i="6"/>
  <c r="I38" i="6"/>
  <c r="H38" i="6"/>
  <c r="E38" i="6"/>
  <c r="D38" i="6"/>
  <c r="C38" i="6"/>
  <c r="B38" i="6"/>
  <c r="Q37" i="6"/>
  <c r="P37" i="6"/>
  <c r="O37" i="6"/>
  <c r="N37" i="6"/>
  <c r="K37" i="6"/>
  <c r="J37" i="6"/>
  <c r="I37" i="6"/>
  <c r="H37" i="6"/>
  <c r="E37" i="6"/>
  <c r="D37" i="6"/>
  <c r="C37" i="6"/>
  <c r="B37" i="6"/>
  <c r="Q36" i="6"/>
  <c r="P36" i="6"/>
  <c r="O36" i="6"/>
  <c r="N36" i="6"/>
  <c r="K36" i="6"/>
  <c r="J36" i="6"/>
  <c r="I36" i="6"/>
  <c r="H36" i="6"/>
  <c r="E36" i="6"/>
  <c r="D36" i="6"/>
  <c r="C36" i="6"/>
  <c r="B36" i="6"/>
  <c r="Q35" i="6"/>
  <c r="P35" i="6"/>
  <c r="O35" i="6"/>
  <c r="N35" i="6"/>
  <c r="K35" i="6"/>
  <c r="J35" i="6"/>
  <c r="I35" i="6"/>
  <c r="H35" i="6"/>
  <c r="E35" i="6"/>
  <c r="D35" i="6"/>
  <c r="C35" i="6"/>
  <c r="B35" i="6"/>
  <c r="Q34" i="6"/>
  <c r="P34" i="6"/>
  <c r="O34" i="6"/>
  <c r="N34" i="6"/>
  <c r="K34" i="6"/>
  <c r="J34" i="6"/>
  <c r="I34" i="6"/>
  <c r="H34" i="6"/>
  <c r="E34" i="6"/>
  <c r="D34" i="6"/>
  <c r="C34" i="6"/>
  <c r="B34" i="6"/>
  <c r="Q33" i="6"/>
  <c r="P33" i="6"/>
  <c r="O33" i="6"/>
  <c r="N33" i="6"/>
  <c r="K33" i="6"/>
  <c r="J33" i="6"/>
  <c r="I33" i="6"/>
  <c r="H33" i="6"/>
  <c r="E33" i="6"/>
  <c r="D33" i="6"/>
  <c r="C33" i="6"/>
  <c r="B33" i="6"/>
  <c r="Q32" i="6"/>
  <c r="P32" i="6"/>
  <c r="O32" i="6"/>
  <c r="N32" i="6"/>
  <c r="K32" i="6"/>
  <c r="J32" i="6"/>
  <c r="I32" i="6"/>
  <c r="H32" i="6"/>
  <c r="E32" i="6"/>
  <c r="D32" i="6"/>
  <c r="C32" i="6"/>
  <c r="B32" i="6"/>
  <c r="Q31" i="6"/>
  <c r="P31" i="6"/>
  <c r="O31" i="6"/>
  <c r="N31" i="6"/>
  <c r="K31" i="6"/>
  <c r="J31" i="6"/>
  <c r="I31" i="6"/>
  <c r="H31" i="6"/>
  <c r="E31" i="6"/>
  <c r="D31" i="6"/>
  <c r="C31" i="6"/>
  <c r="B31" i="6"/>
  <c r="Q30" i="6"/>
  <c r="P30" i="6"/>
  <c r="O30" i="6"/>
  <c r="N30" i="6"/>
  <c r="K30" i="6"/>
  <c r="J30" i="6"/>
  <c r="I30" i="6"/>
  <c r="H30" i="6"/>
  <c r="E30" i="6"/>
  <c r="D30" i="6"/>
  <c r="C30" i="6"/>
  <c r="B30" i="6"/>
  <c r="Q26" i="6"/>
  <c r="P26" i="6"/>
  <c r="O26" i="6"/>
  <c r="N26" i="6"/>
  <c r="Q25" i="6"/>
  <c r="Q51" i="6" s="1"/>
  <c r="P25" i="6"/>
  <c r="O25" i="6"/>
  <c r="O27" i="6" s="1"/>
  <c r="N25" i="6"/>
  <c r="N51" i="6" s="1"/>
  <c r="Q24" i="6"/>
  <c r="Q49" i="6" s="1"/>
  <c r="P24" i="6"/>
  <c r="P49" i="6" s="1"/>
  <c r="O24" i="6"/>
  <c r="O47" i="6" s="1"/>
  <c r="N24" i="6"/>
  <c r="N49" i="6" s="1"/>
  <c r="B6" i="6"/>
  <c r="K77" i="6" s="1"/>
  <c r="J77" i="5"/>
  <c r="I77" i="5"/>
  <c r="K62" i="5"/>
  <c r="J62" i="5"/>
  <c r="I62" i="5"/>
  <c r="H62" i="5"/>
  <c r="K61" i="5"/>
  <c r="H61" i="5"/>
  <c r="K59" i="5"/>
  <c r="K74" i="5" s="1"/>
  <c r="J59" i="5"/>
  <c r="J74" i="5" s="1"/>
  <c r="I59" i="5"/>
  <c r="I74" i="5" s="1"/>
  <c r="H59" i="5"/>
  <c r="H74" i="5" s="1"/>
  <c r="K58" i="5"/>
  <c r="K60" i="5" s="1"/>
  <c r="J58" i="5"/>
  <c r="J60" i="5" s="1"/>
  <c r="I58" i="5"/>
  <c r="I60" i="5" s="1"/>
  <c r="H58" i="5"/>
  <c r="H60" i="5" s="1"/>
  <c r="E58" i="5"/>
  <c r="D58" i="5"/>
  <c r="C58" i="5"/>
  <c r="B58" i="5"/>
  <c r="K57" i="5"/>
  <c r="J57" i="5"/>
  <c r="I57" i="5"/>
  <c r="H57" i="5"/>
  <c r="E57" i="5"/>
  <c r="D57" i="5"/>
  <c r="C57" i="5"/>
  <c r="B57" i="5"/>
  <c r="K56" i="5"/>
  <c r="J56" i="5"/>
  <c r="I56" i="5"/>
  <c r="H56" i="5"/>
  <c r="E56" i="5"/>
  <c r="D56" i="5"/>
  <c r="C56" i="5"/>
  <c r="B56" i="5"/>
  <c r="K55" i="5"/>
  <c r="J55" i="5"/>
  <c r="I55" i="5"/>
  <c r="H55" i="5"/>
  <c r="E55" i="5"/>
  <c r="D55" i="5"/>
  <c r="C55" i="5"/>
  <c r="B55" i="5"/>
  <c r="K54" i="5"/>
  <c r="J54" i="5"/>
  <c r="I54" i="5"/>
  <c r="H54" i="5"/>
  <c r="E54" i="5"/>
  <c r="D54" i="5"/>
  <c r="C54" i="5"/>
  <c r="B54" i="5"/>
  <c r="K53" i="5"/>
  <c r="J53" i="5"/>
  <c r="I53" i="5"/>
  <c r="H53" i="5"/>
  <c r="E53" i="5"/>
  <c r="D53" i="5"/>
  <c r="C53" i="5"/>
  <c r="B53" i="5"/>
  <c r="K52" i="5"/>
  <c r="J52" i="5"/>
  <c r="I52" i="5"/>
  <c r="H52" i="5"/>
  <c r="E52" i="5"/>
  <c r="D52" i="5"/>
  <c r="C52" i="5"/>
  <c r="B52" i="5"/>
  <c r="K51" i="5"/>
  <c r="J51" i="5"/>
  <c r="I51" i="5"/>
  <c r="H51" i="5"/>
  <c r="D51" i="5"/>
  <c r="C51" i="5"/>
  <c r="J50" i="5"/>
  <c r="I50" i="5"/>
  <c r="H50" i="5"/>
  <c r="Q49" i="5"/>
  <c r="N49" i="5"/>
  <c r="N48" i="5"/>
  <c r="Q47" i="5"/>
  <c r="N47" i="5"/>
  <c r="N46" i="5"/>
  <c r="K46" i="5"/>
  <c r="J46" i="5"/>
  <c r="I46" i="5"/>
  <c r="H46" i="5"/>
  <c r="N45" i="5"/>
  <c r="K45" i="5"/>
  <c r="J45" i="5"/>
  <c r="I45" i="5"/>
  <c r="H45" i="5"/>
  <c r="N44" i="5"/>
  <c r="K44" i="5"/>
  <c r="J44" i="5"/>
  <c r="I44" i="5"/>
  <c r="H44" i="5"/>
  <c r="N43" i="5"/>
  <c r="K43" i="5"/>
  <c r="J43" i="5"/>
  <c r="I43" i="5"/>
  <c r="H43" i="5"/>
  <c r="Q42" i="5"/>
  <c r="P42" i="5"/>
  <c r="O42" i="5"/>
  <c r="N42" i="5"/>
  <c r="K42" i="5"/>
  <c r="J42" i="5"/>
  <c r="I42" i="5"/>
  <c r="H42" i="5"/>
  <c r="Q41" i="5"/>
  <c r="P41" i="5"/>
  <c r="O41" i="5"/>
  <c r="N41" i="5"/>
  <c r="K41" i="5"/>
  <c r="J41" i="5"/>
  <c r="I41" i="5"/>
  <c r="H41" i="5"/>
  <c r="E41" i="5"/>
  <c r="D41" i="5"/>
  <c r="C41" i="5"/>
  <c r="B41" i="5"/>
  <c r="Q40" i="5"/>
  <c r="P40" i="5"/>
  <c r="O40" i="5"/>
  <c r="N40" i="5"/>
  <c r="K40" i="5"/>
  <c r="J40" i="5"/>
  <c r="I40" i="5"/>
  <c r="H40" i="5"/>
  <c r="E40" i="5"/>
  <c r="D40" i="5"/>
  <c r="C40" i="5"/>
  <c r="B40" i="5"/>
  <c r="Q39" i="5"/>
  <c r="P39" i="5"/>
  <c r="O39" i="5"/>
  <c r="N39" i="5"/>
  <c r="K39" i="5"/>
  <c r="J39" i="5"/>
  <c r="I39" i="5"/>
  <c r="H39" i="5"/>
  <c r="E39" i="5"/>
  <c r="D39" i="5"/>
  <c r="C39" i="5"/>
  <c r="B39" i="5"/>
  <c r="Q38" i="5"/>
  <c r="P38" i="5"/>
  <c r="O38" i="5"/>
  <c r="N38" i="5"/>
  <c r="K38" i="5"/>
  <c r="J38" i="5"/>
  <c r="I38" i="5"/>
  <c r="H38" i="5"/>
  <c r="E38" i="5"/>
  <c r="D38" i="5"/>
  <c r="C38" i="5"/>
  <c r="B38" i="5"/>
  <c r="Q37" i="5"/>
  <c r="P37" i="5"/>
  <c r="O37" i="5"/>
  <c r="N37" i="5"/>
  <c r="K37" i="5"/>
  <c r="J37" i="5"/>
  <c r="I37" i="5"/>
  <c r="H37" i="5"/>
  <c r="E37" i="5"/>
  <c r="D37" i="5"/>
  <c r="C37" i="5"/>
  <c r="B37" i="5"/>
  <c r="Q36" i="5"/>
  <c r="P36" i="5"/>
  <c r="O36" i="5"/>
  <c r="N36" i="5"/>
  <c r="K36" i="5"/>
  <c r="J36" i="5"/>
  <c r="I36" i="5"/>
  <c r="H36" i="5"/>
  <c r="E36" i="5"/>
  <c r="D36" i="5"/>
  <c r="C36" i="5"/>
  <c r="B36" i="5"/>
  <c r="Q35" i="5"/>
  <c r="P35" i="5"/>
  <c r="O35" i="5"/>
  <c r="N35" i="5"/>
  <c r="K35" i="5"/>
  <c r="J35" i="5"/>
  <c r="I35" i="5"/>
  <c r="H35" i="5"/>
  <c r="E35" i="5"/>
  <c r="D35" i="5"/>
  <c r="C35" i="5"/>
  <c r="B35" i="5"/>
  <c r="Q34" i="5"/>
  <c r="P34" i="5"/>
  <c r="O34" i="5"/>
  <c r="N34" i="5"/>
  <c r="K34" i="5"/>
  <c r="J34" i="5"/>
  <c r="I34" i="5"/>
  <c r="H34" i="5"/>
  <c r="E34" i="5"/>
  <c r="D34" i="5"/>
  <c r="C34" i="5"/>
  <c r="B34" i="5"/>
  <c r="Q33" i="5"/>
  <c r="P33" i="5"/>
  <c r="O33" i="5"/>
  <c r="N33" i="5"/>
  <c r="K33" i="5"/>
  <c r="J33" i="5"/>
  <c r="I33" i="5"/>
  <c r="H33" i="5"/>
  <c r="E33" i="5"/>
  <c r="D33" i="5"/>
  <c r="C33" i="5"/>
  <c r="B33" i="5"/>
  <c r="Q32" i="5"/>
  <c r="P32" i="5"/>
  <c r="O32" i="5"/>
  <c r="N32" i="5"/>
  <c r="K32" i="5"/>
  <c r="J32" i="5"/>
  <c r="I32" i="5"/>
  <c r="H32" i="5"/>
  <c r="E32" i="5"/>
  <c r="D32" i="5"/>
  <c r="C32" i="5"/>
  <c r="B32" i="5"/>
  <c r="Q31" i="5"/>
  <c r="P31" i="5"/>
  <c r="O31" i="5"/>
  <c r="N31" i="5"/>
  <c r="K31" i="5"/>
  <c r="J31" i="5"/>
  <c r="I31" i="5"/>
  <c r="H31" i="5"/>
  <c r="E31" i="5"/>
  <c r="D31" i="5"/>
  <c r="C31" i="5"/>
  <c r="B31" i="5"/>
  <c r="Q30" i="5"/>
  <c r="P30" i="5"/>
  <c r="O30" i="5"/>
  <c r="N30" i="5"/>
  <c r="K30" i="5"/>
  <c r="J30" i="5"/>
  <c r="I30" i="5"/>
  <c r="H30" i="5"/>
  <c r="E30" i="5"/>
  <c r="D30" i="5"/>
  <c r="C30" i="5"/>
  <c r="B30" i="5"/>
  <c r="Q26" i="5"/>
  <c r="P26" i="5"/>
  <c r="O26" i="5"/>
  <c r="N26" i="5"/>
  <c r="B26" i="5"/>
  <c r="Q25" i="5"/>
  <c r="P25" i="5"/>
  <c r="O25" i="5"/>
  <c r="N25" i="5"/>
  <c r="N27" i="5" s="1"/>
  <c r="Q24" i="5"/>
  <c r="Q51" i="5" s="1"/>
  <c r="P24" i="5"/>
  <c r="P48" i="5" s="1"/>
  <c r="O24" i="5"/>
  <c r="O45" i="5" s="1"/>
  <c r="N24" i="5"/>
  <c r="N51" i="5" s="1"/>
  <c r="E23" i="5"/>
  <c r="E51" i="5" s="1"/>
  <c r="D23" i="5"/>
  <c r="C23" i="5"/>
  <c r="B23" i="5"/>
  <c r="B51" i="5" s="1"/>
  <c r="B6" i="5"/>
  <c r="K77" i="5" s="1"/>
  <c r="F58" i="4"/>
  <c r="E58" i="4"/>
  <c r="D58" i="4"/>
  <c r="C58" i="4"/>
  <c r="B58" i="4"/>
  <c r="F57" i="4"/>
  <c r="E57" i="4"/>
  <c r="D57" i="4"/>
  <c r="C57" i="4"/>
  <c r="B57" i="4"/>
  <c r="M56" i="4"/>
  <c r="L56" i="4"/>
  <c r="K56" i="4"/>
  <c r="J56" i="4"/>
  <c r="I56" i="4"/>
  <c r="F56" i="4"/>
  <c r="E56" i="4"/>
  <c r="D56" i="4"/>
  <c r="C56" i="4"/>
  <c r="B56" i="4"/>
  <c r="M55" i="4"/>
  <c r="L55" i="4"/>
  <c r="K55" i="4"/>
  <c r="J55" i="4"/>
  <c r="I55" i="4"/>
  <c r="F55" i="4"/>
  <c r="E55" i="4"/>
  <c r="D55" i="4"/>
  <c r="C55" i="4"/>
  <c r="B55" i="4"/>
  <c r="M54" i="4"/>
  <c r="L54" i="4"/>
  <c r="K54" i="4"/>
  <c r="J54" i="4"/>
  <c r="I54" i="4"/>
  <c r="F54" i="4"/>
  <c r="E54" i="4"/>
  <c r="D54" i="4"/>
  <c r="C54" i="4"/>
  <c r="B54" i="4"/>
  <c r="M53" i="4"/>
  <c r="L53" i="4"/>
  <c r="K53" i="4"/>
  <c r="J53" i="4"/>
  <c r="I53" i="4"/>
  <c r="F53" i="4"/>
  <c r="E53" i="4"/>
  <c r="D53" i="4"/>
  <c r="C53" i="4"/>
  <c r="B53" i="4"/>
  <c r="M52" i="4"/>
  <c r="L52" i="4"/>
  <c r="K52" i="4"/>
  <c r="J52" i="4"/>
  <c r="I52" i="4"/>
  <c r="F52" i="4"/>
  <c r="E52" i="4"/>
  <c r="D52" i="4"/>
  <c r="C52" i="4"/>
  <c r="B52" i="4"/>
  <c r="P51" i="4"/>
  <c r="M51" i="4"/>
  <c r="L51" i="4"/>
  <c r="K51" i="4"/>
  <c r="J51" i="4"/>
  <c r="I51" i="4"/>
  <c r="F51" i="4"/>
  <c r="E51" i="4"/>
  <c r="D51" i="4"/>
  <c r="C51" i="4"/>
  <c r="B51" i="4"/>
  <c r="L50" i="4"/>
  <c r="K50" i="4"/>
  <c r="J50" i="4"/>
  <c r="I50" i="4"/>
  <c r="S49" i="4"/>
  <c r="Q49" i="4"/>
  <c r="P49" i="4"/>
  <c r="S48" i="4"/>
  <c r="R48" i="4"/>
  <c r="P48" i="4"/>
  <c r="S47" i="4"/>
  <c r="R47" i="4"/>
  <c r="S46" i="4"/>
  <c r="R46" i="4"/>
  <c r="P46" i="4"/>
  <c r="M46" i="4"/>
  <c r="L46" i="4"/>
  <c r="K46" i="4"/>
  <c r="J46" i="4"/>
  <c r="I46" i="4"/>
  <c r="R45" i="4"/>
  <c r="Q45" i="4"/>
  <c r="M45" i="4"/>
  <c r="L45" i="4"/>
  <c r="K45" i="4"/>
  <c r="J45" i="4"/>
  <c r="I45" i="4"/>
  <c r="S44" i="4"/>
  <c r="M44" i="4"/>
  <c r="L44" i="4"/>
  <c r="K44" i="4"/>
  <c r="J44" i="4"/>
  <c r="I44" i="4"/>
  <c r="S43" i="4"/>
  <c r="R43" i="4"/>
  <c r="P43" i="4"/>
  <c r="M43" i="4"/>
  <c r="L43" i="4"/>
  <c r="K43" i="4"/>
  <c r="J43" i="4"/>
  <c r="I43" i="4"/>
  <c r="T42" i="4"/>
  <c r="S42" i="4"/>
  <c r="R42" i="4"/>
  <c r="Q42" i="4"/>
  <c r="P42" i="4"/>
  <c r="M42" i="4"/>
  <c r="L42" i="4"/>
  <c r="K42" i="4"/>
  <c r="J42" i="4"/>
  <c r="I42" i="4"/>
  <c r="T41" i="4"/>
  <c r="S41" i="4"/>
  <c r="R41" i="4"/>
  <c r="Q41" i="4"/>
  <c r="P41" i="4"/>
  <c r="M41" i="4"/>
  <c r="L41" i="4"/>
  <c r="K41" i="4"/>
  <c r="J41" i="4"/>
  <c r="I41" i="4"/>
  <c r="F41" i="4"/>
  <c r="E41" i="4"/>
  <c r="D41" i="4"/>
  <c r="C41" i="4"/>
  <c r="B41" i="4"/>
  <c r="T40" i="4"/>
  <c r="S40" i="4"/>
  <c r="R40" i="4"/>
  <c r="Q40" i="4"/>
  <c r="P40" i="4"/>
  <c r="M40" i="4"/>
  <c r="L40" i="4"/>
  <c r="K40" i="4"/>
  <c r="J40" i="4"/>
  <c r="I40" i="4"/>
  <c r="F40" i="4"/>
  <c r="E40" i="4"/>
  <c r="D40" i="4"/>
  <c r="C40" i="4"/>
  <c r="B40" i="4"/>
  <c r="T39" i="4"/>
  <c r="S39" i="4"/>
  <c r="R39" i="4"/>
  <c r="Q39" i="4"/>
  <c r="P39" i="4"/>
  <c r="M39" i="4"/>
  <c r="L39" i="4"/>
  <c r="K39" i="4"/>
  <c r="J39" i="4"/>
  <c r="I39" i="4"/>
  <c r="F39" i="4"/>
  <c r="E39" i="4"/>
  <c r="D39" i="4"/>
  <c r="C39" i="4"/>
  <c r="B39" i="4"/>
  <c r="T38" i="4"/>
  <c r="S38" i="4"/>
  <c r="R38" i="4"/>
  <c r="Q38" i="4"/>
  <c r="P38" i="4"/>
  <c r="M38" i="4"/>
  <c r="L38" i="4"/>
  <c r="K38" i="4"/>
  <c r="J38" i="4"/>
  <c r="I38" i="4"/>
  <c r="F38" i="4"/>
  <c r="E38" i="4"/>
  <c r="D38" i="4"/>
  <c r="C38" i="4"/>
  <c r="B38" i="4"/>
  <c r="T37" i="4"/>
  <c r="S37" i="4"/>
  <c r="R37" i="4"/>
  <c r="Q37" i="4"/>
  <c r="P37" i="4"/>
  <c r="M37" i="4"/>
  <c r="L37" i="4"/>
  <c r="K37" i="4"/>
  <c r="J37" i="4"/>
  <c r="I37" i="4"/>
  <c r="F37" i="4"/>
  <c r="E37" i="4"/>
  <c r="D37" i="4"/>
  <c r="C37" i="4"/>
  <c r="B37" i="4"/>
  <c r="T36" i="4"/>
  <c r="S36" i="4"/>
  <c r="R36" i="4"/>
  <c r="Q36" i="4"/>
  <c r="P36" i="4"/>
  <c r="M36" i="4"/>
  <c r="L36" i="4"/>
  <c r="K36" i="4"/>
  <c r="J36" i="4"/>
  <c r="I36" i="4"/>
  <c r="F36" i="4"/>
  <c r="E36" i="4"/>
  <c r="D36" i="4"/>
  <c r="C36" i="4"/>
  <c r="B36" i="4"/>
  <c r="T35" i="4"/>
  <c r="S35" i="4"/>
  <c r="R35" i="4"/>
  <c r="Q35" i="4"/>
  <c r="P35" i="4"/>
  <c r="M35" i="4"/>
  <c r="L35" i="4"/>
  <c r="K35" i="4"/>
  <c r="J35" i="4"/>
  <c r="I35" i="4"/>
  <c r="F35" i="4"/>
  <c r="E35" i="4"/>
  <c r="D35" i="4"/>
  <c r="C35" i="4"/>
  <c r="B35" i="4"/>
  <c r="T34" i="4"/>
  <c r="S34" i="4"/>
  <c r="R34" i="4"/>
  <c r="Q34" i="4"/>
  <c r="P34" i="4"/>
  <c r="M34" i="4"/>
  <c r="L34" i="4"/>
  <c r="K34" i="4"/>
  <c r="J34" i="4"/>
  <c r="I34" i="4"/>
  <c r="F34" i="4"/>
  <c r="E34" i="4"/>
  <c r="D34" i="4"/>
  <c r="C34" i="4"/>
  <c r="B34" i="4"/>
  <c r="T33" i="4"/>
  <c r="S33" i="4"/>
  <c r="R33" i="4"/>
  <c r="Q33" i="4"/>
  <c r="P33" i="4"/>
  <c r="M33" i="4"/>
  <c r="L33" i="4"/>
  <c r="K33" i="4"/>
  <c r="J33" i="4"/>
  <c r="I33" i="4"/>
  <c r="F33" i="4"/>
  <c r="E33" i="4"/>
  <c r="D33" i="4"/>
  <c r="C33" i="4"/>
  <c r="B33" i="4"/>
  <c r="T32" i="4"/>
  <c r="S32" i="4"/>
  <c r="R32" i="4"/>
  <c r="Q32" i="4"/>
  <c r="P32" i="4"/>
  <c r="M32" i="4"/>
  <c r="L32" i="4"/>
  <c r="K32" i="4"/>
  <c r="J32" i="4"/>
  <c r="I32" i="4"/>
  <c r="F32" i="4"/>
  <c r="E32" i="4"/>
  <c r="D32" i="4"/>
  <c r="C32" i="4"/>
  <c r="B32" i="4"/>
  <c r="T31" i="4"/>
  <c r="S31" i="4"/>
  <c r="R31" i="4"/>
  <c r="Q31" i="4"/>
  <c r="P31" i="4"/>
  <c r="M31" i="4"/>
  <c r="L31" i="4"/>
  <c r="K31" i="4"/>
  <c r="J31" i="4"/>
  <c r="I31" i="4"/>
  <c r="F31" i="4"/>
  <c r="E31" i="4"/>
  <c r="D31" i="4"/>
  <c r="C31" i="4"/>
  <c r="B31" i="4"/>
  <c r="T30" i="4"/>
  <c r="S30" i="4"/>
  <c r="R30" i="4"/>
  <c r="Q30" i="4"/>
  <c r="P30" i="4"/>
  <c r="M30" i="4"/>
  <c r="L30" i="4"/>
  <c r="K30" i="4"/>
  <c r="J30" i="4"/>
  <c r="I30" i="4"/>
  <c r="F30" i="4"/>
  <c r="E30" i="4"/>
  <c r="D30" i="4"/>
  <c r="C30" i="4"/>
  <c r="B30" i="4"/>
  <c r="P27" i="4"/>
  <c r="T26" i="4"/>
  <c r="S26" i="4"/>
  <c r="R26" i="4"/>
  <c r="Q26" i="4"/>
  <c r="P26" i="4"/>
  <c r="T25" i="4"/>
  <c r="S25" i="4"/>
  <c r="S51" i="4" s="1"/>
  <c r="R25" i="4"/>
  <c r="R27" i="4" s="1"/>
  <c r="Q25" i="4"/>
  <c r="P25" i="4"/>
  <c r="T24" i="4"/>
  <c r="T49" i="4" s="1"/>
  <c r="S24" i="4"/>
  <c r="S45" i="4" s="1"/>
  <c r="R24" i="4"/>
  <c r="R49" i="4" s="1"/>
  <c r="Q24" i="4"/>
  <c r="Q44" i="4" s="1"/>
  <c r="P24" i="4"/>
  <c r="P47" i="4" s="1"/>
  <c r="M77" i="3"/>
  <c r="K77" i="3"/>
  <c r="J77" i="3"/>
  <c r="K74" i="3"/>
  <c r="K62" i="3"/>
  <c r="J62" i="3"/>
  <c r="I62" i="3"/>
  <c r="M61" i="3"/>
  <c r="K61" i="3"/>
  <c r="M60" i="3"/>
  <c r="K60" i="3"/>
  <c r="J60" i="3"/>
  <c r="M59" i="3"/>
  <c r="M74" i="3" s="1"/>
  <c r="L59" i="3"/>
  <c r="L74" i="3" s="1"/>
  <c r="K59" i="3"/>
  <c r="J59" i="3"/>
  <c r="J74" i="3" s="1"/>
  <c r="I59" i="3"/>
  <c r="F59" i="3"/>
  <c r="E59" i="3"/>
  <c r="D59" i="3"/>
  <c r="C59" i="3"/>
  <c r="B59" i="3"/>
  <c r="M58" i="3"/>
  <c r="L58" i="3"/>
  <c r="L60" i="3" s="1"/>
  <c r="K58" i="3"/>
  <c r="J58" i="3"/>
  <c r="J61" i="3" s="1"/>
  <c r="I58" i="3"/>
  <c r="I61" i="3" s="1"/>
  <c r="F58" i="3"/>
  <c r="E58" i="3"/>
  <c r="D58" i="3"/>
  <c r="C58" i="3"/>
  <c r="B58" i="3"/>
  <c r="M57" i="3"/>
  <c r="L57" i="3"/>
  <c r="K57" i="3"/>
  <c r="J57" i="3"/>
  <c r="I57" i="3"/>
  <c r="F57" i="3"/>
  <c r="E57" i="3"/>
  <c r="D57" i="3"/>
  <c r="C57" i="3"/>
  <c r="B57" i="3"/>
  <c r="M56" i="3"/>
  <c r="L56" i="3"/>
  <c r="K56" i="3"/>
  <c r="J56" i="3"/>
  <c r="I56" i="3"/>
  <c r="F56" i="3"/>
  <c r="E56" i="3"/>
  <c r="D56" i="3"/>
  <c r="C56" i="3"/>
  <c r="B56" i="3"/>
  <c r="M55" i="3"/>
  <c r="L55" i="3"/>
  <c r="K55" i="3"/>
  <c r="J55" i="3"/>
  <c r="I55" i="3"/>
  <c r="F55" i="3"/>
  <c r="E55" i="3"/>
  <c r="D55" i="3"/>
  <c r="C55" i="3"/>
  <c r="B55" i="3"/>
  <c r="M54" i="3"/>
  <c r="L54" i="3"/>
  <c r="K54" i="3"/>
  <c r="J54" i="3"/>
  <c r="I54" i="3"/>
  <c r="F54" i="3"/>
  <c r="E54" i="3"/>
  <c r="D54" i="3"/>
  <c r="C54" i="3"/>
  <c r="B54" i="3"/>
  <c r="M53" i="3"/>
  <c r="L53" i="3"/>
  <c r="K53" i="3"/>
  <c r="J53" i="3"/>
  <c r="I53" i="3"/>
  <c r="F53" i="3"/>
  <c r="E53" i="3"/>
  <c r="D53" i="3"/>
  <c r="C53" i="3"/>
  <c r="B53" i="3"/>
  <c r="M52" i="3"/>
  <c r="L52" i="3"/>
  <c r="K52" i="3"/>
  <c r="J52" i="3"/>
  <c r="I52" i="3"/>
  <c r="F52" i="3"/>
  <c r="E52" i="3"/>
  <c r="D52" i="3"/>
  <c r="C52" i="3"/>
  <c r="B52" i="3"/>
  <c r="S51" i="3"/>
  <c r="M51" i="3"/>
  <c r="L51" i="3"/>
  <c r="K51" i="3"/>
  <c r="J51" i="3"/>
  <c r="I51" i="3"/>
  <c r="F51" i="3"/>
  <c r="E51" i="3"/>
  <c r="D51" i="3"/>
  <c r="C51" i="3"/>
  <c r="B51" i="3"/>
  <c r="L50" i="3"/>
  <c r="K50" i="3"/>
  <c r="J50" i="3"/>
  <c r="I50" i="3"/>
  <c r="S48" i="3"/>
  <c r="S47" i="3"/>
  <c r="P47" i="3"/>
  <c r="S46" i="3"/>
  <c r="P46" i="3"/>
  <c r="M46" i="3"/>
  <c r="L46" i="3"/>
  <c r="K46" i="3"/>
  <c r="J46" i="3"/>
  <c r="I46" i="3"/>
  <c r="S45" i="3"/>
  <c r="R45" i="3"/>
  <c r="P45" i="3"/>
  <c r="M45" i="3"/>
  <c r="L45" i="3"/>
  <c r="K45" i="3"/>
  <c r="J45" i="3"/>
  <c r="I45" i="3"/>
  <c r="T44" i="3"/>
  <c r="P44" i="3"/>
  <c r="M44" i="3"/>
  <c r="L44" i="3"/>
  <c r="K44" i="3"/>
  <c r="J44" i="3"/>
  <c r="I44" i="3"/>
  <c r="S43" i="3"/>
  <c r="M43" i="3"/>
  <c r="L43" i="3"/>
  <c r="K43" i="3"/>
  <c r="J43" i="3"/>
  <c r="I43" i="3"/>
  <c r="T42" i="3"/>
  <c r="S42" i="3"/>
  <c r="R42" i="3"/>
  <c r="Q42" i="3"/>
  <c r="P42" i="3"/>
  <c r="M42" i="3"/>
  <c r="L42" i="3"/>
  <c r="K42" i="3"/>
  <c r="J42" i="3"/>
  <c r="I42" i="3"/>
  <c r="T41" i="3"/>
  <c r="S41" i="3"/>
  <c r="R41" i="3"/>
  <c r="Q41" i="3"/>
  <c r="P41" i="3"/>
  <c r="M41" i="3"/>
  <c r="L41" i="3"/>
  <c r="K41" i="3"/>
  <c r="J41" i="3"/>
  <c r="I41" i="3"/>
  <c r="F41" i="3"/>
  <c r="E41" i="3"/>
  <c r="D41" i="3"/>
  <c r="C41" i="3"/>
  <c r="B41" i="3"/>
  <c r="T40" i="3"/>
  <c r="S40" i="3"/>
  <c r="R40" i="3"/>
  <c r="Q40" i="3"/>
  <c r="P40" i="3"/>
  <c r="M40" i="3"/>
  <c r="L40" i="3"/>
  <c r="K40" i="3"/>
  <c r="J40" i="3"/>
  <c r="I40" i="3"/>
  <c r="F40" i="3"/>
  <c r="E40" i="3"/>
  <c r="D40" i="3"/>
  <c r="C40" i="3"/>
  <c r="B40" i="3"/>
  <c r="T39" i="3"/>
  <c r="S39" i="3"/>
  <c r="R39" i="3"/>
  <c r="Q39" i="3"/>
  <c r="P39" i="3"/>
  <c r="M39" i="3"/>
  <c r="L39" i="3"/>
  <c r="K39" i="3"/>
  <c r="J39" i="3"/>
  <c r="I39" i="3"/>
  <c r="F39" i="3"/>
  <c r="E39" i="3"/>
  <c r="D39" i="3"/>
  <c r="C39" i="3"/>
  <c r="B39" i="3"/>
  <c r="T38" i="3"/>
  <c r="S38" i="3"/>
  <c r="R38" i="3"/>
  <c r="Q38" i="3"/>
  <c r="P38" i="3"/>
  <c r="M38" i="3"/>
  <c r="L38" i="3"/>
  <c r="K38" i="3"/>
  <c r="J38" i="3"/>
  <c r="I38" i="3"/>
  <c r="F38" i="3"/>
  <c r="E38" i="3"/>
  <c r="D38" i="3"/>
  <c r="C38" i="3"/>
  <c r="B38" i="3"/>
  <c r="T37" i="3"/>
  <c r="S37" i="3"/>
  <c r="R37" i="3"/>
  <c r="Q37" i="3"/>
  <c r="P37" i="3"/>
  <c r="M37" i="3"/>
  <c r="L37" i="3"/>
  <c r="K37" i="3"/>
  <c r="J37" i="3"/>
  <c r="I37" i="3"/>
  <c r="F37" i="3"/>
  <c r="E37" i="3"/>
  <c r="D37" i="3"/>
  <c r="C37" i="3"/>
  <c r="B37" i="3"/>
  <c r="T36" i="3"/>
  <c r="S36" i="3"/>
  <c r="R36" i="3"/>
  <c r="Q36" i="3"/>
  <c r="P36" i="3"/>
  <c r="M36" i="3"/>
  <c r="L36" i="3"/>
  <c r="K36" i="3"/>
  <c r="J36" i="3"/>
  <c r="I36" i="3"/>
  <c r="F36" i="3"/>
  <c r="E36" i="3"/>
  <c r="D36" i="3"/>
  <c r="C36" i="3"/>
  <c r="B36" i="3"/>
  <c r="T35" i="3"/>
  <c r="S35" i="3"/>
  <c r="R35" i="3"/>
  <c r="Q35" i="3"/>
  <c r="P35" i="3"/>
  <c r="M35" i="3"/>
  <c r="L35" i="3"/>
  <c r="K35" i="3"/>
  <c r="J35" i="3"/>
  <c r="I35" i="3"/>
  <c r="F35" i="3"/>
  <c r="E35" i="3"/>
  <c r="D35" i="3"/>
  <c r="C35" i="3"/>
  <c r="B35" i="3"/>
  <c r="T34" i="3"/>
  <c r="S34" i="3"/>
  <c r="R34" i="3"/>
  <c r="Q34" i="3"/>
  <c r="P34" i="3"/>
  <c r="M34" i="3"/>
  <c r="L34" i="3"/>
  <c r="K34" i="3"/>
  <c r="J34" i="3"/>
  <c r="I34" i="3"/>
  <c r="F34" i="3"/>
  <c r="E34" i="3"/>
  <c r="D34" i="3"/>
  <c r="C34" i="3"/>
  <c r="B34" i="3"/>
  <c r="T33" i="3"/>
  <c r="S33" i="3"/>
  <c r="R33" i="3"/>
  <c r="Q33" i="3"/>
  <c r="P33" i="3"/>
  <c r="M33" i="3"/>
  <c r="L33" i="3"/>
  <c r="K33" i="3"/>
  <c r="J33" i="3"/>
  <c r="I33" i="3"/>
  <c r="F33" i="3"/>
  <c r="E33" i="3"/>
  <c r="D33" i="3"/>
  <c r="C33" i="3"/>
  <c r="B33" i="3"/>
  <c r="T32" i="3"/>
  <c r="S32" i="3"/>
  <c r="R32" i="3"/>
  <c r="Q32" i="3"/>
  <c r="P32" i="3"/>
  <c r="M32" i="3"/>
  <c r="L32" i="3"/>
  <c r="K32" i="3"/>
  <c r="J32" i="3"/>
  <c r="I32" i="3"/>
  <c r="F32" i="3"/>
  <c r="E32" i="3"/>
  <c r="D32" i="3"/>
  <c r="C32" i="3"/>
  <c r="B32" i="3"/>
  <c r="T31" i="3"/>
  <c r="S31" i="3"/>
  <c r="R31" i="3"/>
  <c r="Q31" i="3"/>
  <c r="P31" i="3"/>
  <c r="M31" i="3"/>
  <c r="L31" i="3"/>
  <c r="K31" i="3"/>
  <c r="J31" i="3"/>
  <c r="I31" i="3"/>
  <c r="F31" i="3"/>
  <c r="E31" i="3"/>
  <c r="D31" i="3"/>
  <c r="C31" i="3"/>
  <c r="B31" i="3"/>
  <c r="T30" i="3"/>
  <c r="S30" i="3"/>
  <c r="R30" i="3"/>
  <c r="Q30" i="3"/>
  <c r="P30" i="3"/>
  <c r="M30" i="3"/>
  <c r="L30" i="3"/>
  <c r="K30" i="3"/>
  <c r="J30" i="3"/>
  <c r="I30" i="3"/>
  <c r="F30" i="3"/>
  <c r="E30" i="3"/>
  <c r="D30" i="3"/>
  <c r="C30" i="3"/>
  <c r="B30" i="3"/>
  <c r="T26" i="3"/>
  <c r="S26" i="3"/>
  <c r="S27" i="3" s="1"/>
  <c r="R26" i="3"/>
  <c r="Q26" i="3"/>
  <c r="P26" i="3"/>
  <c r="F26" i="3"/>
  <c r="E26" i="3"/>
  <c r="D26" i="3"/>
  <c r="C26" i="3"/>
  <c r="T25" i="3"/>
  <c r="S25" i="3"/>
  <c r="R25" i="3"/>
  <c r="Q25" i="3"/>
  <c r="P25" i="3"/>
  <c r="T24" i="3"/>
  <c r="T51" i="3" s="1"/>
  <c r="S24" i="3"/>
  <c r="S49" i="3" s="1"/>
  <c r="R24" i="3"/>
  <c r="R44" i="3" s="1"/>
  <c r="Q24" i="3"/>
  <c r="Q47" i="3" s="1"/>
  <c r="P24" i="3"/>
  <c r="P51" i="3" s="1"/>
  <c r="C6" i="3"/>
  <c r="L77" i="3" s="1"/>
  <c r="F58" i="2"/>
  <c r="E58" i="2"/>
  <c r="D58" i="2"/>
  <c r="C58" i="2"/>
  <c r="B58" i="2"/>
  <c r="F57" i="2"/>
  <c r="E57" i="2"/>
  <c r="D57" i="2"/>
  <c r="C57" i="2"/>
  <c r="B57" i="2"/>
  <c r="M56" i="2"/>
  <c r="L56" i="2"/>
  <c r="K56" i="2"/>
  <c r="J56" i="2"/>
  <c r="I56" i="2"/>
  <c r="F56" i="2"/>
  <c r="E56" i="2"/>
  <c r="D56" i="2"/>
  <c r="C56" i="2"/>
  <c r="B56" i="2"/>
  <c r="M55" i="2"/>
  <c r="L55" i="2"/>
  <c r="K55" i="2"/>
  <c r="J55" i="2"/>
  <c r="I55" i="2"/>
  <c r="F55" i="2"/>
  <c r="E55" i="2"/>
  <c r="D55" i="2"/>
  <c r="C55" i="2"/>
  <c r="B55" i="2"/>
  <c r="M54" i="2"/>
  <c r="L54" i="2"/>
  <c r="K54" i="2"/>
  <c r="J54" i="2"/>
  <c r="I54" i="2"/>
  <c r="F54" i="2"/>
  <c r="E54" i="2"/>
  <c r="D54" i="2"/>
  <c r="C54" i="2"/>
  <c r="B54" i="2"/>
  <c r="M53" i="2"/>
  <c r="L53" i="2"/>
  <c r="K53" i="2"/>
  <c r="J53" i="2"/>
  <c r="I53" i="2"/>
  <c r="F53" i="2"/>
  <c r="E53" i="2"/>
  <c r="D53" i="2"/>
  <c r="C53" i="2"/>
  <c r="B53" i="2"/>
  <c r="M52" i="2"/>
  <c r="L52" i="2"/>
  <c r="K52" i="2"/>
  <c r="J52" i="2"/>
  <c r="I52" i="2"/>
  <c r="F52" i="2"/>
  <c r="E52" i="2"/>
  <c r="D52" i="2"/>
  <c r="C52" i="2"/>
  <c r="B52" i="2"/>
  <c r="M51" i="2"/>
  <c r="L51" i="2"/>
  <c r="K51" i="2"/>
  <c r="J51" i="2"/>
  <c r="I51" i="2"/>
  <c r="F51" i="2"/>
  <c r="E51" i="2"/>
  <c r="D51" i="2"/>
  <c r="C51" i="2"/>
  <c r="B51" i="2"/>
  <c r="L50" i="2"/>
  <c r="K50" i="2"/>
  <c r="J50" i="2"/>
  <c r="I50" i="2"/>
  <c r="Q49" i="2"/>
  <c r="P49" i="2"/>
  <c r="T47" i="2"/>
  <c r="P47" i="2"/>
  <c r="T46" i="2"/>
  <c r="Q46" i="2"/>
  <c r="P46" i="2"/>
  <c r="M46" i="2"/>
  <c r="L46" i="2"/>
  <c r="K46" i="2"/>
  <c r="J46" i="2"/>
  <c r="I46" i="2"/>
  <c r="T45" i="2"/>
  <c r="Q45" i="2"/>
  <c r="M45" i="2"/>
  <c r="L45" i="2"/>
  <c r="K45" i="2"/>
  <c r="J45" i="2"/>
  <c r="I45" i="2"/>
  <c r="T44" i="2"/>
  <c r="S44" i="2"/>
  <c r="Q44" i="2"/>
  <c r="P44" i="2"/>
  <c r="M44" i="2"/>
  <c r="L44" i="2"/>
  <c r="K44" i="2"/>
  <c r="J44" i="2"/>
  <c r="I44" i="2"/>
  <c r="M43" i="2"/>
  <c r="L43" i="2"/>
  <c r="K43" i="2"/>
  <c r="J43" i="2"/>
  <c r="I43" i="2"/>
  <c r="T42" i="2"/>
  <c r="S42" i="2"/>
  <c r="R42" i="2"/>
  <c r="Q42" i="2"/>
  <c r="P42" i="2"/>
  <c r="M42" i="2"/>
  <c r="L42" i="2"/>
  <c r="K42" i="2"/>
  <c r="J42" i="2"/>
  <c r="I42" i="2"/>
  <c r="T41" i="2"/>
  <c r="S41" i="2"/>
  <c r="R41" i="2"/>
  <c r="Q41" i="2"/>
  <c r="P41" i="2"/>
  <c r="M41" i="2"/>
  <c r="L41" i="2"/>
  <c r="K41" i="2"/>
  <c r="J41" i="2"/>
  <c r="I41" i="2"/>
  <c r="F41" i="2"/>
  <c r="E41" i="2"/>
  <c r="D41" i="2"/>
  <c r="C41" i="2"/>
  <c r="B41" i="2"/>
  <c r="T40" i="2"/>
  <c r="S40" i="2"/>
  <c r="R40" i="2"/>
  <c r="Q40" i="2"/>
  <c r="P40" i="2"/>
  <c r="M40" i="2"/>
  <c r="L40" i="2"/>
  <c r="K40" i="2"/>
  <c r="J40" i="2"/>
  <c r="I40" i="2"/>
  <c r="F40" i="2"/>
  <c r="E40" i="2"/>
  <c r="D40" i="2"/>
  <c r="C40" i="2"/>
  <c r="B40" i="2"/>
  <c r="T39" i="2"/>
  <c r="S39" i="2"/>
  <c r="R39" i="2"/>
  <c r="Q39" i="2"/>
  <c r="P39" i="2"/>
  <c r="M39" i="2"/>
  <c r="L39" i="2"/>
  <c r="K39" i="2"/>
  <c r="J39" i="2"/>
  <c r="I39" i="2"/>
  <c r="F39" i="2"/>
  <c r="E39" i="2"/>
  <c r="D39" i="2"/>
  <c r="C39" i="2"/>
  <c r="B39" i="2"/>
  <c r="T38" i="2"/>
  <c r="S38" i="2"/>
  <c r="R38" i="2"/>
  <c r="Q38" i="2"/>
  <c r="P38" i="2"/>
  <c r="M38" i="2"/>
  <c r="L38" i="2"/>
  <c r="K38" i="2"/>
  <c r="J38" i="2"/>
  <c r="I38" i="2"/>
  <c r="F38" i="2"/>
  <c r="E38" i="2"/>
  <c r="D38" i="2"/>
  <c r="C38" i="2"/>
  <c r="B38" i="2"/>
  <c r="T37" i="2"/>
  <c r="S37" i="2"/>
  <c r="R37" i="2"/>
  <c r="Q37" i="2"/>
  <c r="P37" i="2"/>
  <c r="M37" i="2"/>
  <c r="L37" i="2"/>
  <c r="K37" i="2"/>
  <c r="J37" i="2"/>
  <c r="I37" i="2"/>
  <c r="F37" i="2"/>
  <c r="E37" i="2"/>
  <c r="D37" i="2"/>
  <c r="C37" i="2"/>
  <c r="B37" i="2"/>
  <c r="T36" i="2"/>
  <c r="S36" i="2"/>
  <c r="R36" i="2"/>
  <c r="Q36" i="2"/>
  <c r="P36" i="2"/>
  <c r="M36" i="2"/>
  <c r="L36" i="2"/>
  <c r="K36" i="2"/>
  <c r="J36" i="2"/>
  <c r="I36" i="2"/>
  <c r="F36" i="2"/>
  <c r="E36" i="2"/>
  <c r="D36" i="2"/>
  <c r="C36" i="2"/>
  <c r="B36" i="2"/>
  <c r="T35" i="2"/>
  <c r="S35" i="2"/>
  <c r="R35" i="2"/>
  <c r="Q35" i="2"/>
  <c r="P35" i="2"/>
  <c r="M35" i="2"/>
  <c r="L35" i="2"/>
  <c r="K35" i="2"/>
  <c r="J35" i="2"/>
  <c r="I35" i="2"/>
  <c r="F35" i="2"/>
  <c r="E35" i="2"/>
  <c r="D35" i="2"/>
  <c r="C35" i="2"/>
  <c r="B35" i="2"/>
  <c r="T34" i="2"/>
  <c r="S34" i="2"/>
  <c r="R34" i="2"/>
  <c r="Q34" i="2"/>
  <c r="P34" i="2"/>
  <c r="M34" i="2"/>
  <c r="L34" i="2"/>
  <c r="K34" i="2"/>
  <c r="J34" i="2"/>
  <c r="I34" i="2"/>
  <c r="F34" i="2"/>
  <c r="E34" i="2"/>
  <c r="D34" i="2"/>
  <c r="C34" i="2"/>
  <c r="B34" i="2"/>
  <c r="T33" i="2"/>
  <c r="S33" i="2"/>
  <c r="R33" i="2"/>
  <c r="Q33" i="2"/>
  <c r="P33" i="2"/>
  <c r="M33" i="2"/>
  <c r="L33" i="2"/>
  <c r="K33" i="2"/>
  <c r="J33" i="2"/>
  <c r="I33" i="2"/>
  <c r="F33" i="2"/>
  <c r="E33" i="2"/>
  <c r="D33" i="2"/>
  <c r="C33" i="2"/>
  <c r="B33" i="2"/>
  <c r="T32" i="2"/>
  <c r="S32" i="2"/>
  <c r="R32" i="2"/>
  <c r="Q32" i="2"/>
  <c r="P32" i="2"/>
  <c r="M32" i="2"/>
  <c r="L32" i="2"/>
  <c r="K32" i="2"/>
  <c r="J32" i="2"/>
  <c r="I32" i="2"/>
  <c r="F32" i="2"/>
  <c r="E32" i="2"/>
  <c r="D32" i="2"/>
  <c r="C32" i="2"/>
  <c r="B32" i="2"/>
  <c r="T31" i="2"/>
  <c r="S31" i="2"/>
  <c r="R31" i="2"/>
  <c r="Q31" i="2"/>
  <c r="P31" i="2"/>
  <c r="M31" i="2"/>
  <c r="L31" i="2"/>
  <c r="K31" i="2"/>
  <c r="J31" i="2"/>
  <c r="I31" i="2"/>
  <c r="F31" i="2"/>
  <c r="E31" i="2"/>
  <c r="D31" i="2"/>
  <c r="C31" i="2"/>
  <c r="B31" i="2"/>
  <c r="T30" i="2"/>
  <c r="S30" i="2"/>
  <c r="R30" i="2"/>
  <c r="Q30" i="2"/>
  <c r="P30" i="2"/>
  <c r="M30" i="2"/>
  <c r="L30" i="2"/>
  <c r="K30" i="2"/>
  <c r="J30" i="2"/>
  <c r="I30" i="2"/>
  <c r="F30" i="2"/>
  <c r="E30" i="2"/>
  <c r="D30" i="2"/>
  <c r="C30" i="2"/>
  <c r="B30" i="2"/>
  <c r="J28" i="2"/>
  <c r="T27" i="2"/>
  <c r="S27" i="2"/>
  <c r="T26" i="2"/>
  <c r="S26" i="2"/>
  <c r="R26" i="2"/>
  <c r="Q26" i="2"/>
  <c r="P26" i="2"/>
  <c r="T25" i="2"/>
  <c r="S25" i="2"/>
  <c r="R25" i="2"/>
  <c r="Q25" i="2"/>
  <c r="Q27" i="2" s="1"/>
  <c r="P25" i="2"/>
  <c r="P27" i="2" s="1"/>
  <c r="T24" i="2"/>
  <c r="T51" i="2" s="1"/>
  <c r="S24" i="2"/>
  <c r="S45" i="2" s="1"/>
  <c r="R24" i="2"/>
  <c r="R49" i="2" s="1"/>
  <c r="Q24" i="2"/>
  <c r="Q47" i="2" s="1"/>
  <c r="P24" i="2"/>
  <c r="P48" i="2" s="1"/>
  <c r="G66" i="1"/>
  <c r="F58" i="1"/>
  <c r="E58" i="1"/>
  <c r="D58" i="1"/>
  <c r="C58" i="1"/>
  <c r="B58" i="1"/>
  <c r="F57" i="1"/>
  <c r="E57" i="1"/>
  <c r="D57" i="1"/>
  <c r="C57" i="1"/>
  <c r="B57" i="1"/>
  <c r="M56" i="1"/>
  <c r="L56" i="1"/>
  <c r="K56" i="1"/>
  <c r="J56" i="1"/>
  <c r="I56" i="1"/>
  <c r="F56" i="1"/>
  <c r="E56" i="1"/>
  <c r="D56" i="1"/>
  <c r="C56" i="1"/>
  <c r="B56" i="1"/>
  <c r="M55" i="1"/>
  <c r="L55" i="1"/>
  <c r="K55" i="1"/>
  <c r="J55" i="1"/>
  <c r="I55" i="1"/>
  <c r="F55" i="1"/>
  <c r="E55" i="1"/>
  <c r="D55" i="1"/>
  <c r="C55" i="1"/>
  <c r="B55" i="1"/>
  <c r="M54" i="1"/>
  <c r="L54" i="1"/>
  <c r="K54" i="1"/>
  <c r="J54" i="1"/>
  <c r="I54" i="1"/>
  <c r="F54" i="1"/>
  <c r="E54" i="1"/>
  <c r="D54" i="1"/>
  <c r="C54" i="1"/>
  <c r="B54" i="1"/>
  <c r="M53" i="1"/>
  <c r="L53" i="1"/>
  <c r="K53" i="1"/>
  <c r="J53" i="1"/>
  <c r="I53" i="1"/>
  <c r="F53" i="1"/>
  <c r="E53" i="1"/>
  <c r="D53" i="1"/>
  <c r="C53" i="1"/>
  <c r="B53" i="1"/>
  <c r="M52" i="1"/>
  <c r="L52" i="1"/>
  <c r="K52" i="1"/>
  <c r="J52" i="1"/>
  <c r="I52" i="1"/>
  <c r="F52" i="1"/>
  <c r="E52" i="1"/>
  <c r="D52" i="1"/>
  <c r="C52" i="1"/>
  <c r="B52" i="1"/>
  <c r="T51" i="1"/>
  <c r="S51" i="1"/>
  <c r="M51" i="1"/>
  <c r="L51" i="1"/>
  <c r="K51" i="1"/>
  <c r="J51" i="1"/>
  <c r="I51" i="1"/>
  <c r="F51" i="1"/>
  <c r="E51" i="1"/>
  <c r="D51" i="1"/>
  <c r="C51" i="1"/>
  <c r="B51" i="1"/>
  <c r="L50" i="1"/>
  <c r="K50" i="1"/>
  <c r="J50" i="1"/>
  <c r="I50" i="1"/>
  <c r="T49" i="1"/>
  <c r="Q49" i="1"/>
  <c r="T48" i="1"/>
  <c r="S48" i="1"/>
  <c r="Q48" i="1"/>
  <c r="P48" i="1"/>
  <c r="T47" i="1"/>
  <c r="S47" i="1"/>
  <c r="Q47" i="1"/>
  <c r="P47" i="1"/>
  <c r="Q46" i="1"/>
  <c r="P46" i="1"/>
  <c r="M46" i="1"/>
  <c r="L46" i="1"/>
  <c r="K46" i="1"/>
  <c r="J46" i="1"/>
  <c r="I46" i="1"/>
  <c r="T45" i="1"/>
  <c r="P45" i="1"/>
  <c r="M45" i="1"/>
  <c r="L45" i="1"/>
  <c r="K45" i="1"/>
  <c r="J45" i="1"/>
  <c r="I45" i="1"/>
  <c r="T44" i="1"/>
  <c r="Q44" i="1"/>
  <c r="M44" i="1"/>
  <c r="L44" i="1"/>
  <c r="K44" i="1"/>
  <c r="J44" i="1"/>
  <c r="I44" i="1"/>
  <c r="T43" i="1"/>
  <c r="S43" i="1"/>
  <c r="Q43" i="1"/>
  <c r="P43" i="1"/>
  <c r="M43" i="1"/>
  <c r="L43" i="1"/>
  <c r="K43" i="1"/>
  <c r="J43" i="1"/>
  <c r="I43" i="1"/>
  <c r="T42" i="1"/>
  <c r="S42" i="1"/>
  <c r="R42" i="1"/>
  <c r="Q42" i="1"/>
  <c r="P42" i="1"/>
  <c r="M42" i="1"/>
  <c r="L42" i="1"/>
  <c r="K42" i="1"/>
  <c r="J42" i="1"/>
  <c r="I42" i="1"/>
  <c r="T41" i="1"/>
  <c r="S41" i="1"/>
  <c r="R41" i="1"/>
  <c r="Q41" i="1"/>
  <c r="P41" i="1"/>
  <c r="M41" i="1"/>
  <c r="L41" i="1"/>
  <c r="K41" i="1"/>
  <c r="J41" i="1"/>
  <c r="I41" i="1"/>
  <c r="F41" i="1"/>
  <c r="E41" i="1"/>
  <c r="D41" i="1"/>
  <c r="C41" i="1"/>
  <c r="B41" i="1"/>
  <c r="T40" i="1"/>
  <c r="S40" i="1"/>
  <c r="R40" i="1"/>
  <c r="Q40" i="1"/>
  <c r="P40" i="1"/>
  <c r="M40" i="1"/>
  <c r="L40" i="1"/>
  <c r="K40" i="1"/>
  <c r="J40" i="1"/>
  <c r="I40" i="1"/>
  <c r="F40" i="1"/>
  <c r="E40" i="1"/>
  <c r="D40" i="1"/>
  <c r="C40" i="1"/>
  <c r="B40" i="1"/>
  <c r="T39" i="1"/>
  <c r="S39" i="1"/>
  <c r="R39" i="1"/>
  <c r="Q39" i="1"/>
  <c r="P39" i="1"/>
  <c r="M39" i="1"/>
  <c r="L39" i="1"/>
  <c r="K39" i="1"/>
  <c r="J39" i="1"/>
  <c r="I39" i="1"/>
  <c r="F39" i="1"/>
  <c r="E39" i="1"/>
  <c r="D39" i="1"/>
  <c r="C39" i="1"/>
  <c r="B39" i="1"/>
  <c r="T38" i="1"/>
  <c r="S38" i="1"/>
  <c r="R38" i="1"/>
  <c r="Q38" i="1"/>
  <c r="P38" i="1"/>
  <c r="M38" i="1"/>
  <c r="L38" i="1"/>
  <c r="K38" i="1"/>
  <c r="J38" i="1"/>
  <c r="I38" i="1"/>
  <c r="F38" i="1"/>
  <c r="E38" i="1"/>
  <c r="D38" i="1"/>
  <c r="C38" i="1"/>
  <c r="B38" i="1"/>
  <c r="T37" i="1"/>
  <c r="S37" i="1"/>
  <c r="R37" i="1"/>
  <c r="Q37" i="1"/>
  <c r="P37" i="1"/>
  <c r="M37" i="1"/>
  <c r="L37" i="1"/>
  <c r="K37" i="1"/>
  <c r="J37" i="1"/>
  <c r="I37" i="1"/>
  <c r="F37" i="1"/>
  <c r="E37" i="1"/>
  <c r="D37" i="1"/>
  <c r="C37" i="1"/>
  <c r="B37" i="1"/>
  <c r="T36" i="1"/>
  <c r="S36" i="1"/>
  <c r="R36" i="1"/>
  <c r="Q36" i="1"/>
  <c r="P36" i="1"/>
  <c r="M36" i="1"/>
  <c r="L36" i="1"/>
  <c r="K36" i="1"/>
  <c r="J36" i="1"/>
  <c r="I36" i="1"/>
  <c r="F36" i="1"/>
  <c r="E36" i="1"/>
  <c r="D36" i="1"/>
  <c r="C36" i="1"/>
  <c r="B36" i="1"/>
  <c r="T35" i="1"/>
  <c r="S35" i="1"/>
  <c r="R35" i="1"/>
  <c r="Q35" i="1"/>
  <c r="P35" i="1"/>
  <c r="M35" i="1"/>
  <c r="L35" i="1"/>
  <c r="K35" i="1"/>
  <c r="J35" i="1"/>
  <c r="I35" i="1"/>
  <c r="F35" i="1"/>
  <c r="E35" i="1"/>
  <c r="D35" i="1"/>
  <c r="C35" i="1"/>
  <c r="B35" i="1"/>
  <c r="T34" i="1"/>
  <c r="S34" i="1"/>
  <c r="R34" i="1"/>
  <c r="Q34" i="1"/>
  <c r="P34" i="1"/>
  <c r="M34" i="1"/>
  <c r="L34" i="1"/>
  <c r="K34" i="1"/>
  <c r="J34" i="1"/>
  <c r="I34" i="1"/>
  <c r="F34" i="1"/>
  <c r="E34" i="1"/>
  <c r="D34" i="1"/>
  <c r="C34" i="1"/>
  <c r="B34" i="1"/>
  <c r="T33" i="1"/>
  <c r="S33" i="1"/>
  <c r="R33" i="1"/>
  <c r="Q33" i="1"/>
  <c r="P33" i="1"/>
  <c r="M33" i="1"/>
  <c r="L33" i="1"/>
  <c r="K33" i="1"/>
  <c r="J33" i="1"/>
  <c r="I33" i="1"/>
  <c r="F33" i="1"/>
  <c r="E33" i="1"/>
  <c r="D33" i="1"/>
  <c r="C33" i="1"/>
  <c r="B33" i="1"/>
  <c r="T32" i="1"/>
  <c r="S32" i="1"/>
  <c r="R32" i="1"/>
  <c r="Q32" i="1"/>
  <c r="P32" i="1"/>
  <c r="M32" i="1"/>
  <c r="L32" i="1"/>
  <c r="K32" i="1"/>
  <c r="J32" i="1"/>
  <c r="I32" i="1"/>
  <c r="F32" i="1"/>
  <c r="E32" i="1"/>
  <c r="D32" i="1"/>
  <c r="C32" i="1"/>
  <c r="B32" i="1"/>
  <c r="T31" i="1"/>
  <c r="S31" i="1"/>
  <c r="R31" i="1"/>
  <c r="Q31" i="1"/>
  <c r="P31" i="1"/>
  <c r="M31" i="1"/>
  <c r="L31" i="1"/>
  <c r="K31" i="1"/>
  <c r="J31" i="1"/>
  <c r="I31" i="1"/>
  <c r="F31" i="1"/>
  <c r="E31" i="1"/>
  <c r="D31" i="1"/>
  <c r="C31" i="1"/>
  <c r="B31" i="1"/>
  <c r="T30" i="1"/>
  <c r="S30" i="1"/>
  <c r="R30" i="1"/>
  <c r="Q30" i="1"/>
  <c r="P30" i="1"/>
  <c r="M30" i="1"/>
  <c r="L30" i="1"/>
  <c r="K30" i="1"/>
  <c r="J30" i="1"/>
  <c r="I30" i="1"/>
  <c r="F30" i="1"/>
  <c r="E30" i="1"/>
  <c r="D30" i="1"/>
  <c r="C30" i="1"/>
  <c r="B30" i="1"/>
  <c r="T27" i="1"/>
  <c r="S27" i="1"/>
  <c r="T26" i="1"/>
  <c r="S26" i="1"/>
  <c r="R26" i="1"/>
  <c r="Q26" i="1"/>
  <c r="P26" i="1"/>
  <c r="T25" i="1"/>
  <c r="S25" i="1"/>
  <c r="R25" i="1"/>
  <c r="Q25" i="1"/>
  <c r="Q51" i="1" s="1"/>
  <c r="P25" i="1"/>
  <c r="P51" i="1" s="1"/>
  <c r="T24" i="1"/>
  <c r="T46" i="1" s="1"/>
  <c r="S24" i="1"/>
  <c r="S45" i="1" s="1"/>
  <c r="R24" i="1"/>
  <c r="R47" i="1" s="1"/>
  <c r="Q24" i="1"/>
  <c r="Q45" i="1" s="1"/>
  <c r="P24" i="1"/>
  <c r="P49" i="1" s="1"/>
  <c r="B7" i="29"/>
  <c r="B5" i="28"/>
  <c r="A4" i="28"/>
  <c r="B5" i="30"/>
  <c r="B2" i="28"/>
  <c r="B5" i="27"/>
  <c r="A4" i="30"/>
  <c r="B7" i="28"/>
  <c r="A4" i="27"/>
  <c r="B5" i="26"/>
  <c r="B2" i="25"/>
  <c r="B7" i="23"/>
  <c r="B7" i="30"/>
  <c r="A4" i="26"/>
  <c r="B2" i="26"/>
  <c r="B7" i="25"/>
  <c r="A4" i="29"/>
  <c r="B7" i="26"/>
  <c r="A4" i="25"/>
  <c r="C7" i="23"/>
  <c r="B5" i="29"/>
  <c r="B7" i="27"/>
  <c r="B5" i="25"/>
  <c r="C5" i="23"/>
  <c r="B7" i="21"/>
  <c r="C5" i="20"/>
  <c r="B7" i="17"/>
  <c r="B2" i="29"/>
  <c r="B5" i="23"/>
  <c r="C2" i="20"/>
  <c r="C7" i="19"/>
  <c r="B2" i="23"/>
  <c r="C5" i="21"/>
  <c r="C5" i="19"/>
  <c r="C5" i="17"/>
  <c r="C2" i="21"/>
  <c r="B2" i="30"/>
  <c r="C7" i="21"/>
  <c r="C7" i="17"/>
  <c r="C7" i="16"/>
  <c r="B2" i="27"/>
  <c r="B7" i="16"/>
  <c r="A4" i="12"/>
  <c r="B5" i="17"/>
  <c r="C5" i="16"/>
  <c r="C2" i="23"/>
  <c r="B2" i="21"/>
  <c r="B2" i="16"/>
  <c r="C7" i="20"/>
  <c r="B5" i="4"/>
  <c r="C5" i="2"/>
  <c r="B5" i="1"/>
  <c r="C2" i="2"/>
  <c r="B2" i="1"/>
  <c r="C2" i="16"/>
  <c r="C2" i="19"/>
  <c r="C2" i="17"/>
  <c r="B5" i="16"/>
  <c r="B2" i="4"/>
  <c r="C7" i="2"/>
  <c r="C7" i="1"/>
  <c r="B7" i="4"/>
  <c r="B7" i="2"/>
  <c r="B7" i="1"/>
  <c r="B5" i="21"/>
  <c r="C5" i="4"/>
  <c r="C5" i="1"/>
  <c r="C2" i="4"/>
  <c r="B5" i="2"/>
  <c r="C2" i="1"/>
  <c r="B2" i="17"/>
  <c r="C7" i="4"/>
  <c r="B2" i="2"/>
  <c r="J62" i="4" l="1"/>
  <c r="I59" i="4"/>
  <c r="I62" i="4"/>
  <c r="M58" i="4"/>
  <c r="L62" i="4"/>
  <c r="L58" i="4"/>
  <c r="K58" i="4"/>
  <c r="M59" i="4"/>
  <c r="M74" i="4" s="1"/>
  <c r="J58" i="4"/>
  <c r="M62" i="4"/>
  <c r="L59" i="4"/>
  <c r="L74" i="4" s="1"/>
  <c r="I58" i="4"/>
  <c r="K62" i="4"/>
  <c r="J59" i="4"/>
  <c r="J74" i="4" s="1"/>
  <c r="K59" i="4"/>
  <c r="K74" i="4" s="1"/>
  <c r="B6" i="2"/>
  <c r="K57" i="1"/>
  <c r="J57" i="1"/>
  <c r="I57" i="1"/>
  <c r="C6" i="1"/>
  <c r="M57" i="1"/>
  <c r="L57" i="1"/>
  <c r="M57" i="4"/>
  <c r="J57" i="4"/>
  <c r="L57" i="4"/>
  <c r="K57" i="4"/>
  <c r="C6" i="4"/>
  <c r="I57" i="4"/>
  <c r="B6" i="21"/>
  <c r="Q50" i="21" s="1"/>
  <c r="I62" i="1"/>
  <c r="I62" i="2"/>
  <c r="L58" i="1"/>
  <c r="K58" i="1"/>
  <c r="J58" i="1"/>
  <c r="L59" i="1"/>
  <c r="M59" i="1"/>
  <c r="J62" i="1"/>
  <c r="K59" i="1"/>
  <c r="K62" i="1"/>
  <c r="J59" i="1"/>
  <c r="I59" i="1"/>
  <c r="M58" i="1"/>
  <c r="D7" i="1"/>
  <c r="E7" i="1" s="1"/>
  <c r="I58" i="1"/>
  <c r="K58" i="2"/>
  <c r="J58" i="2"/>
  <c r="L62" i="2"/>
  <c r="M59" i="2"/>
  <c r="M74" i="2" s="1"/>
  <c r="K59" i="2"/>
  <c r="K74" i="2" s="1"/>
  <c r="M62" i="2"/>
  <c r="L59" i="2"/>
  <c r="L74" i="2" s="1"/>
  <c r="I58" i="2"/>
  <c r="M58" i="2"/>
  <c r="K62" i="2"/>
  <c r="J59" i="2"/>
  <c r="J74" i="2" s="1"/>
  <c r="J62" i="2"/>
  <c r="I59" i="2"/>
  <c r="L58" i="2"/>
  <c r="D7" i="2"/>
  <c r="E7" i="2" s="1"/>
  <c r="B6" i="16"/>
  <c r="B6" i="1"/>
  <c r="L57" i="2"/>
  <c r="J57" i="2"/>
  <c r="C6" i="2"/>
  <c r="K57" i="2"/>
  <c r="I57" i="2"/>
  <c r="M57" i="2"/>
  <c r="B6" i="4"/>
  <c r="M62" i="20"/>
  <c r="L59" i="20"/>
  <c r="L74" i="20" s="1"/>
  <c r="I58" i="20"/>
  <c r="L62" i="20"/>
  <c r="K59" i="20"/>
  <c r="K74" i="20" s="1"/>
  <c r="J62" i="20"/>
  <c r="I59" i="20"/>
  <c r="L58" i="20"/>
  <c r="M59" i="20"/>
  <c r="M74" i="20" s="1"/>
  <c r="J58" i="20"/>
  <c r="J59" i="20"/>
  <c r="J74" i="20" s="1"/>
  <c r="K62" i="20"/>
  <c r="K58" i="20"/>
  <c r="I62" i="20"/>
  <c r="M58" i="20"/>
  <c r="K57" i="16"/>
  <c r="L57" i="16"/>
  <c r="M57" i="16"/>
  <c r="J57" i="16"/>
  <c r="I57" i="16"/>
  <c r="C6" i="16"/>
  <c r="B6" i="17"/>
  <c r="B5" i="12"/>
  <c r="K79" i="12" s="1"/>
  <c r="M62" i="16"/>
  <c r="L59" i="16"/>
  <c r="L74" i="16" s="1"/>
  <c r="I58" i="16"/>
  <c r="J62" i="16"/>
  <c r="I59" i="16"/>
  <c r="M59" i="16"/>
  <c r="M74" i="16" s="1"/>
  <c r="J58" i="16"/>
  <c r="M58" i="16"/>
  <c r="L58" i="16"/>
  <c r="L62" i="16"/>
  <c r="J59" i="16"/>
  <c r="J74" i="16" s="1"/>
  <c r="K59" i="16"/>
  <c r="K74" i="16" s="1"/>
  <c r="K58" i="16"/>
  <c r="K62" i="16"/>
  <c r="I62" i="16"/>
  <c r="M58" i="17"/>
  <c r="M59" i="17"/>
  <c r="M74" i="17" s="1"/>
  <c r="J58" i="17"/>
  <c r="J62" i="17"/>
  <c r="I59" i="17"/>
  <c r="I58" i="17"/>
  <c r="K62" i="17"/>
  <c r="L59" i="17"/>
  <c r="L74" i="17" s="1"/>
  <c r="K59" i="17"/>
  <c r="K74" i="17" s="1"/>
  <c r="K58" i="17"/>
  <c r="J59" i="17"/>
  <c r="J74" i="17" s="1"/>
  <c r="L58" i="17"/>
  <c r="L59" i="21"/>
  <c r="L74" i="21" s="1"/>
  <c r="I58" i="21"/>
  <c r="L58" i="21"/>
  <c r="K58" i="21"/>
  <c r="M59" i="21"/>
  <c r="M74" i="21" s="1"/>
  <c r="J59" i="21"/>
  <c r="J74" i="21" s="1"/>
  <c r="M58" i="21"/>
  <c r="K59" i="21"/>
  <c r="K74" i="21" s="1"/>
  <c r="I59" i="21"/>
  <c r="J58" i="21"/>
  <c r="L57" i="17"/>
  <c r="J57" i="17"/>
  <c r="I57" i="17"/>
  <c r="K57" i="17"/>
  <c r="M57" i="17"/>
  <c r="C6" i="17"/>
  <c r="I57" i="19"/>
  <c r="L57" i="19"/>
  <c r="J57" i="19"/>
  <c r="M57" i="19"/>
  <c r="K57" i="19"/>
  <c r="C6" i="19"/>
  <c r="K57" i="21"/>
  <c r="M57" i="21"/>
  <c r="L57" i="21"/>
  <c r="C6" i="21"/>
  <c r="I57" i="21"/>
  <c r="J57" i="21"/>
  <c r="J59" i="19"/>
  <c r="J74" i="19" s="1"/>
  <c r="I59" i="19"/>
  <c r="L58" i="19"/>
  <c r="M59" i="19"/>
  <c r="M74" i="19" s="1"/>
  <c r="J58" i="19"/>
  <c r="K59" i="19"/>
  <c r="K74" i="19" s="1"/>
  <c r="M58" i="19"/>
  <c r="K58" i="19"/>
  <c r="L59" i="19"/>
  <c r="L74" i="19" s="1"/>
  <c r="I58" i="19"/>
  <c r="B6" i="23"/>
  <c r="I62" i="17"/>
  <c r="K57" i="20"/>
  <c r="J57" i="20"/>
  <c r="L57" i="20"/>
  <c r="C6" i="20"/>
  <c r="M57" i="20"/>
  <c r="I57" i="20"/>
  <c r="L57" i="23"/>
  <c r="K57" i="23"/>
  <c r="C6" i="23"/>
  <c r="M57" i="23"/>
  <c r="I57" i="23"/>
  <c r="J57" i="23"/>
  <c r="J57" i="25"/>
  <c r="H57" i="25"/>
  <c r="K57" i="25"/>
  <c r="I57" i="25"/>
  <c r="J62" i="27"/>
  <c r="J58" i="27"/>
  <c r="I62" i="27"/>
  <c r="I58" i="27"/>
  <c r="C5" i="27"/>
  <c r="D5" i="27" s="1"/>
  <c r="H62" i="27"/>
  <c r="H58" i="27"/>
  <c r="K59" i="27"/>
  <c r="K75" i="27" s="1"/>
  <c r="I59" i="27"/>
  <c r="I75" i="27" s="1"/>
  <c r="K62" i="27"/>
  <c r="K58" i="27"/>
  <c r="H59" i="27"/>
  <c r="H75" i="27" s="1"/>
  <c r="J59" i="27"/>
  <c r="J75" i="27" s="1"/>
  <c r="K57" i="29"/>
  <c r="B6" i="29"/>
  <c r="N50" i="29" s="1"/>
  <c r="J57" i="29"/>
  <c r="I57" i="29"/>
  <c r="H57" i="29"/>
  <c r="M59" i="23"/>
  <c r="J58" i="23"/>
  <c r="M62" i="23"/>
  <c r="L59" i="23"/>
  <c r="I58" i="23"/>
  <c r="K58" i="23"/>
  <c r="L58" i="23"/>
  <c r="K62" i="23"/>
  <c r="I62" i="23"/>
  <c r="J59" i="23"/>
  <c r="M58" i="23"/>
  <c r="K59" i="23"/>
  <c r="I59" i="23"/>
  <c r="L62" i="23"/>
  <c r="J62" i="23"/>
  <c r="H59" i="26"/>
  <c r="H75" i="26" s="1"/>
  <c r="K62" i="26"/>
  <c r="K58" i="26"/>
  <c r="J62" i="26"/>
  <c r="J58" i="26"/>
  <c r="H62" i="26"/>
  <c r="I59" i="26"/>
  <c r="I75" i="26" s="1"/>
  <c r="I58" i="26"/>
  <c r="H58" i="26"/>
  <c r="I62" i="26"/>
  <c r="J59" i="26"/>
  <c r="J75" i="26" s="1"/>
  <c r="C5" i="26"/>
  <c r="D5" i="26" s="1"/>
  <c r="K59" i="26"/>
  <c r="K75" i="26" s="1"/>
  <c r="K59" i="25"/>
  <c r="K75" i="25" s="1"/>
  <c r="J59" i="25"/>
  <c r="J75" i="25" s="1"/>
  <c r="I59" i="25"/>
  <c r="I75" i="25" s="1"/>
  <c r="J62" i="25"/>
  <c r="J58" i="25"/>
  <c r="C5" i="25"/>
  <c r="D5" i="25" s="1"/>
  <c r="H62" i="25"/>
  <c r="H58" i="25"/>
  <c r="I58" i="25"/>
  <c r="K62" i="25"/>
  <c r="K58" i="25"/>
  <c r="H59" i="25"/>
  <c r="H75" i="25" s="1"/>
  <c r="I62" i="25"/>
  <c r="K62" i="30"/>
  <c r="K58" i="30"/>
  <c r="J62" i="30"/>
  <c r="J58" i="30"/>
  <c r="I62" i="30"/>
  <c r="I58" i="30"/>
  <c r="C5" i="30"/>
  <c r="D5" i="30" s="1"/>
  <c r="H62" i="30"/>
  <c r="H64" i="30" s="1"/>
  <c r="H58" i="30"/>
  <c r="K59" i="30"/>
  <c r="K75" i="30" s="1"/>
  <c r="J59" i="30"/>
  <c r="J75" i="30" s="1"/>
  <c r="I59" i="30"/>
  <c r="I75" i="30" s="1"/>
  <c r="H59" i="30"/>
  <c r="H75" i="30" s="1"/>
  <c r="K57" i="26"/>
  <c r="J57" i="26"/>
  <c r="H57" i="26"/>
  <c r="I57" i="26"/>
  <c r="J59" i="28"/>
  <c r="J75" i="28" s="1"/>
  <c r="I59" i="28"/>
  <c r="I75" i="28" s="1"/>
  <c r="H59" i="28"/>
  <c r="H75" i="28" s="1"/>
  <c r="K62" i="28"/>
  <c r="K58" i="28"/>
  <c r="I62" i="28"/>
  <c r="I58" i="28"/>
  <c r="C5" i="28"/>
  <c r="D5" i="28" s="1"/>
  <c r="H62" i="28"/>
  <c r="H58" i="28"/>
  <c r="J62" i="28"/>
  <c r="J58" i="28"/>
  <c r="K59" i="28"/>
  <c r="K75" i="28" s="1"/>
  <c r="J57" i="27"/>
  <c r="I57" i="27"/>
  <c r="H57" i="27"/>
  <c r="B6" i="27"/>
  <c r="P50" i="27" s="1"/>
  <c r="K57" i="27"/>
  <c r="K57" i="30"/>
  <c r="B6" i="30"/>
  <c r="P50" i="30" s="1"/>
  <c r="J57" i="30"/>
  <c r="I57" i="30"/>
  <c r="H57" i="30"/>
  <c r="K57" i="28"/>
  <c r="H57" i="28"/>
  <c r="I57" i="28"/>
  <c r="J57" i="28"/>
  <c r="B6" i="28"/>
  <c r="O50" i="28" s="1"/>
  <c r="I59" i="29"/>
  <c r="I75" i="29" s="1"/>
  <c r="H59" i="29"/>
  <c r="H75" i="29" s="1"/>
  <c r="K62" i="29"/>
  <c r="K58" i="29"/>
  <c r="J62" i="29"/>
  <c r="J58" i="29"/>
  <c r="I62" i="29"/>
  <c r="I58" i="29"/>
  <c r="C5" i="29"/>
  <c r="D5" i="29" s="1"/>
  <c r="J59" i="29"/>
  <c r="J75" i="29" s="1"/>
  <c r="H58" i="29"/>
  <c r="K59" i="29"/>
  <c r="K75" i="29" s="1"/>
  <c r="H62" i="29"/>
  <c r="J72" i="10"/>
  <c r="J73" i="10" s="1"/>
  <c r="H72" i="10"/>
  <c r="H73" i="10" s="1"/>
  <c r="Q49" i="3"/>
  <c r="R45" i="1"/>
  <c r="R47" i="2"/>
  <c r="Q48" i="3"/>
  <c r="T45" i="4"/>
  <c r="O49" i="8"/>
  <c r="O47" i="8"/>
  <c r="O27" i="8"/>
  <c r="O51" i="8"/>
  <c r="O48" i="8"/>
  <c r="O46" i="8"/>
  <c r="O45" i="8"/>
  <c r="O44" i="8"/>
  <c r="O43" i="8"/>
  <c r="O28" i="8"/>
  <c r="I64" i="12"/>
  <c r="P27" i="16"/>
  <c r="R49" i="1"/>
  <c r="P27" i="1"/>
  <c r="R46" i="1"/>
  <c r="S49" i="1"/>
  <c r="Q44" i="3"/>
  <c r="T46" i="4"/>
  <c r="R51" i="4"/>
  <c r="O27" i="5"/>
  <c r="O44" i="5"/>
  <c r="O46" i="5"/>
  <c r="O48" i="5"/>
  <c r="J61" i="5"/>
  <c r="O49" i="6"/>
  <c r="P27" i="7"/>
  <c r="P43" i="7"/>
  <c r="O51" i="9"/>
  <c r="P51" i="10"/>
  <c r="P49" i="10"/>
  <c r="N51" i="11"/>
  <c r="Q27" i="1"/>
  <c r="S46" i="1"/>
  <c r="R46" i="2"/>
  <c r="S49" i="2"/>
  <c r="P51" i="2"/>
  <c r="R27" i="1"/>
  <c r="R43" i="1"/>
  <c r="P44" i="1"/>
  <c r="R48" i="1"/>
  <c r="R51" i="1"/>
  <c r="R27" i="2"/>
  <c r="Q43" i="2"/>
  <c r="S46" i="2"/>
  <c r="Q48" i="2"/>
  <c r="T49" i="2"/>
  <c r="Q51" i="2"/>
  <c r="S44" i="3"/>
  <c r="Q45" i="3"/>
  <c r="R47" i="3"/>
  <c r="P49" i="3"/>
  <c r="I60" i="3"/>
  <c r="L61" i="3"/>
  <c r="T27" i="4"/>
  <c r="T43" i="4"/>
  <c r="R44" i="4"/>
  <c r="P45" i="4"/>
  <c r="Q47" i="4"/>
  <c r="T48" i="4"/>
  <c r="T51" i="4"/>
  <c r="Q27" i="5"/>
  <c r="Q43" i="5"/>
  <c r="Q44" i="5"/>
  <c r="Q45" i="5"/>
  <c r="Q46" i="5"/>
  <c r="Q48" i="5"/>
  <c r="H77" i="5"/>
  <c r="Q47" i="6"/>
  <c r="H60" i="6"/>
  <c r="Q46" i="8"/>
  <c r="I60" i="8"/>
  <c r="O43" i="9"/>
  <c r="N49" i="9"/>
  <c r="P27" i="10"/>
  <c r="N44" i="10"/>
  <c r="P45" i="10"/>
  <c r="Q46" i="10"/>
  <c r="P49" i="11"/>
  <c r="P47" i="11"/>
  <c r="P27" i="11"/>
  <c r="N46" i="11"/>
  <c r="N49" i="11"/>
  <c r="B26" i="12"/>
  <c r="B55" i="12"/>
  <c r="H76" i="12"/>
  <c r="N48" i="12"/>
  <c r="N46" i="12"/>
  <c r="N45" i="12"/>
  <c r="N27" i="12"/>
  <c r="Q27" i="12"/>
  <c r="N43" i="12"/>
  <c r="N44" i="12"/>
  <c r="N53" i="12"/>
  <c r="J72" i="12"/>
  <c r="H74" i="12"/>
  <c r="H77" i="12" s="1"/>
  <c r="H78" i="12" s="1"/>
  <c r="I60" i="13"/>
  <c r="H61" i="13"/>
  <c r="N45" i="14"/>
  <c r="Q49" i="16"/>
  <c r="Q44" i="16"/>
  <c r="Q46" i="16"/>
  <c r="Q48" i="16"/>
  <c r="Q51" i="16"/>
  <c r="Q47" i="16"/>
  <c r="Q43" i="16"/>
  <c r="Q27" i="16"/>
  <c r="R27" i="20"/>
  <c r="J72" i="22"/>
  <c r="J73" i="22" s="1"/>
  <c r="R48" i="2"/>
  <c r="R51" i="2"/>
  <c r="N27" i="6"/>
  <c r="N44" i="14"/>
  <c r="R45" i="16"/>
  <c r="R49" i="16"/>
  <c r="R48" i="16"/>
  <c r="R51" i="16"/>
  <c r="R47" i="16"/>
  <c r="R46" i="16"/>
  <c r="R44" i="1"/>
  <c r="S43" i="2"/>
  <c r="S48" i="2"/>
  <c r="S51" i="2"/>
  <c r="Q46" i="3"/>
  <c r="T47" i="3"/>
  <c r="R49" i="3"/>
  <c r="T44" i="4"/>
  <c r="O47" i="5"/>
  <c r="O49" i="5"/>
  <c r="P51" i="5"/>
  <c r="I77" i="6"/>
  <c r="P48" i="7"/>
  <c r="P46" i="7"/>
  <c r="P49" i="7"/>
  <c r="P47" i="7"/>
  <c r="J60" i="7"/>
  <c r="K77" i="10"/>
  <c r="J77" i="10"/>
  <c r="N28" i="10"/>
  <c r="K60" i="10"/>
  <c r="O48" i="14"/>
  <c r="O46" i="14"/>
  <c r="O45" i="14"/>
  <c r="O44" i="14"/>
  <c r="O43" i="14"/>
  <c r="O27" i="14"/>
  <c r="N43" i="14"/>
  <c r="N47" i="14"/>
  <c r="P48" i="15"/>
  <c r="P46" i="15"/>
  <c r="P45" i="15"/>
  <c r="P44" i="15"/>
  <c r="P43" i="15"/>
  <c r="P27" i="15"/>
  <c r="P49" i="15"/>
  <c r="S46" i="23"/>
  <c r="S51" i="23"/>
  <c r="S48" i="23"/>
  <c r="S43" i="23"/>
  <c r="S27" i="23"/>
  <c r="L71" i="23"/>
  <c r="S49" i="23"/>
  <c r="S45" i="23"/>
  <c r="S44" i="23"/>
  <c r="S47" i="23"/>
  <c r="S44" i="1"/>
  <c r="T43" i="2"/>
  <c r="R44" i="2"/>
  <c r="P45" i="2"/>
  <c r="T48" i="2"/>
  <c r="P27" i="3"/>
  <c r="P43" i="3"/>
  <c r="T45" i="3"/>
  <c r="R46" i="3"/>
  <c r="P48" i="3"/>
  <c r="Q46" i="4"/>
  <c r="T47" i="4"/>
  <c r="P47" i="5"/>
  <c r="P49" i="5"/>
  <c r="P27" i="6"/>
  <c r="P43" i="6"/>
  <c r="P44" i="6"/>
  <c r="P45" i="6"/>
  <c r="P46" i="6"/>
  <c r="P48" i="6"/>
  <c r="K60" i="6"/>
  <c r="J77" i="6"/>
  <c r="Q51" i="7"/>
  <c r="P51" i="7"/>
  <c r="H77" i="7"/>
  <c r="N49" i="8"/>
  <c r="N47" i="8"/>
  <c r="N27" i="8"/>
  <c r="Q43" i="8"/>
  <c r="N48" i="8"/>
  <c r="N45" i="9"/>
  <c r="P28" i="10"/>
  <c r="Q43" i="10"/>
  <c r="N48" i="10"/>
  <c r="J68" i="10"/>
  <c r="H61" i="10"/>
  <c r="O27" i="11"/>
  <c r="N43" i="11"/>
  <c r="N47" i="11"/>
  <c r="I60" i="11"/>
  <c r="Q51" i="12"/>
  <c r="Q52" i="12"/>
  <c r="R52" i="12" s="1"/>
  <c r="Q43" i="12"/>
  <c r="Q44" i="12"/>
  <c r="Q47" i="12"/>
  <c r="J56" i="13"/>
  <c r="J51" i="13"/>
  <c r="J32" i="13"/>
  <c r="O47" i="14"/>
  <c r="J60" i="14"/>
  <c r="O46" i="15"/>
  <c r="R44" i="16"/>
  <c r="T46" i="17"/>
  <c r="T47" i="17"/>
  <c r="T27" i="17"/>
  <c r="T51" i="17"/>
  <c r="T45" i="17"/>
  <c r="H77" i="18"/>
  <c r="K77" i="18"/>
  <c r="I77" i="18"/>
  <c r="S47" i="20"/>
  <c r="S44" i="20"/>
  <c r="S51" i="20"/>
  <c r="S48" i="20"/>
  <c r="S43" i="20"/>
  <c r="S27" i="20"/>
  <c r="S46" i="20"/>
  <c r="S45" i="20"/>
  <c r="S49" i="20"/>
  <c r="J60" i="24"/>
  <c r="O51" i="5"/>
  <c r="O48" i="7"/>
  <c r="O46" i="7"/>
  <c r="O49" i="7"/>
  <c r="N48" i="14"/>
  <c r="R45" i="2"/>
  <c r="S47" i="2"/>
  <c r="R27" i="3"/>
  <c r="R43" i="3"/>
  <c r="T46" i="3"/>
  <c r="R48" i="3"/>
  <c r="R51" i="3"/>
  <c r="Q27" i="4"/>
  <c r="Q43" i="4"/>
  <c r="Q48" i="4"/>
  <c r="Q51" i="4"/>
  <c r="I61" i="5"/>
  <c r="N47" i="6"/>
  <c r="O51" i="6"/>
  <c r="O27" i="7"/>
  <c r="O43" i="7"/>
  <c r="O44" i="7"/>
  <c r="O45" i="7"/>
  <c r="P51" i="8"/>
  <c r="Q48" i="8"/>
  <c r="N51" i="9"/>
  <c r="N44" i="9"/>
  <c r="I77" i="10"/>
  <c r="N48" i="11"/>
  <c r="O53" i="12"/>
  <c r="N48" i="13"/>
  <c r="N46" i="13"/>
  <c r="N45" i="13"/>
  <c r="N44" i="13"/>
  <c r="N43" i="13"/>
  <c r="N27" i="13"/>
  <c r="N27" i="14"/>
  <c r="O45" i="15"/>
  <c r="O47" i="15"/>
  <c r="O49" i="24"/>
  <c r="O47" i="24"/>
  <c r="I71" i="24"/>
  <c r="O43" i="24"/>
  <c r="O51" i="24"/>
  <c r="O44" i="24"/>
  <c r="O46" i="24"/>
  <c r="O48" i="24"/>
  <c r="O27" i="24"/>
  <c r="O45" i="24"/>
  <c r="I60" i="7"/>
  <c r="Q43" i="3"/>
  <c r="H71" i="10"/>
  <c r="N49" i="10"/>
  <c r="N47" i="10"/>
  <c r="N27" i="10"/>
  <c r="K77" i="8"/>
  <c r="H77" i="8"/>
  <c r="O44" i="9"/>
  <c r="N46" i="10"/>
  <c r="H69" i="10"/>
  <c r="P53" i="12"/>
  <c r="J64" i="12"/>
  <c r="I77" i="12"/>
  <c r="I78" i="12" s="1"/>
  <c r="O48" i="13"/>
  <c r="O46" i="13"/>
  <c r="O45" i="13"/>
  <c r="O44" i="13"/>
  <c r="O43" i="13"/>
  <c r="O49" i="13"/>
  <c r="O47" i="13"/>
  <c r="P47" i="15"/>
  <c r="R27" i="16"/>
  <c r="P51" i="16"/>
  <c r="P51" i="18"/>
  <c r="P49" i="18"/>
  <c r="P46" i="18"/>
  <c r="P27" i="18"/>
  <c r="P48" i="18"/>
  <c r="P44" i="18"/>
  <c r="J71" i="21"/>
  <c r="Q48" i="21"/>
  <c r="Q43" i="21"/>
  <c r="Q49" i="21"/>
  <c r="Q47" i="21"/>
  <c r="Q27" i="21"/>
  <c r="Q45" i="21"/>
  <c r="Q44" i="21"/>
  <c r="Q51" i="21"/>
  <c r="Q46" i="21"/>
  <c r="R43" i="2"/>
  <c r="I72" i="10"/>
  <c r="I73" i="10" s="1"/>
  <c r="Q27" i="3"/>
  <c r="T49" i="3"/>
  <c r="Q51" i="3"/>
  <c r="Q27" i="6"/>
  <c r="O27" i="15"/>
  <c r="Q47" i="19"/>
  <c r="Q44" i="19"/>
  <c r="Q51" i="19"/>
  <c r="Q48" i="19"/>
  <c r="Q43" i="19"/>
  <c r="Q27" i="19"/>
  <c r="Q46" i="19"/>
  <c r="Q45" i="19"/>
  <c r="B25" i="30"/>
  <c r="P44" i="4"/>
  <c r="O43" i="5"/>
  <c r="P44" i="7"/>
  <c r="K60" i="11"/>
  <c r="P43" i="2"/>
  <c r="T27" i="3"/>
  <c r="T43" i="3"/>
  <c r="T48" i="3"/>
  <c r="S27" i="4"/>
  <c r="P27" i="5"/>
  <c r="P43" i="5"/>
  <c r="P44" i="5"/>
  <c r="P45" i="5"/>
  <c r="P46" i="5"/>
  <c r="P47" i="6"/>
  <c r="O47" i="7"/>
  <c r="P48" i="9"/>
  <c r="P46" i="9"/>
  <c r="P45" i="9"/>
  <c r="P44" i="9"/>
  <c r="P43" i="9"/>
  <c r="P27" i="9"/>
  <c r="N43" i="9"/>
  <c r="P51" i="9"/>
  <c r="N45" i="10"/>
  <c r="P46" i="10"/>
  <c r="N47" i="13"/>
  <c r="N46" i="14"/>
  <c r="N49" i="14"/>
  <c r="O44" i="15"/>
  <c r="O48" i="15"/>
  <c r="P51" i="15"/>
  <c r="T51" i="19"/>
  <c r="J69" i="24"/>
  <c r="I69" i="24"/>
  <c r="I72" i="24" s="1"/>
  <c r="I73" i="24" s="1"/>
  <c r="N53" i="30"/>
  <c r="R52" i="30"/>
  <c r="K60" i="7"/>
  <c r="Q47" i="9"/>
  <c r="Q49" i="9"/>
  <c r="O28" i="10"/>
  <c r="O43" i="10"/>
  <c r="O44" i="10"/>
  <c r="O45" i="10"/>
  <c r="O46" i="10"/>
  <c r="O48" i="10"/>
  <c r="Q28" i="11"/>
  <c r="Q43" i="11"/>
  <c r="Q44" i="11"/>
  <c r="Q45" i="11"/>
  <c r="Q46" i="11"/>
  <c r="Q48" i="11"/>
  <c r="H60" i="11"/>
  <c r="J76" i="12"/>
  <c r="J77" i="12" s="1"/>
  <c r="J78" i="12" s="1"/>
  <c r="P27" i="13"/>
  <c r="P43" i="13"/>
  <c r="P44" i="13"/>
  <c r="P45" i="13"/>
  <c r="P46" i="13"/>
  <c r="P48" i="13"/>
  <c r="K51" i="13"/>
  <c r="K60" i="13"/>
  <c r="Q27" i="14"/>
  <c r="H60" i="14"/>
  <c r="N47" i="15"/>
  <c r="N49" i="15"/>
  <c r="I60" i="15"/>
  <c r="P46" i="16"/>
  <c r="P47" i="16"/>
  <c r="P44" i="16"/>
  <c r="P45" i="16"/>
  <c r="R51" i="17"/>
  <c r="R48" i="17"/>
  <c r="R43" i="17"/>
  <c r="R49" i="17"/>
  <c r="P43" i="17"/>
  <c r="R44" i="17"/>
  <c r="P45" i="17"/>
  <c r="Q48" i="17"/>
  <c r="Q27" i="18"/>
  <c r="Q46" i="18"/>
  <c r="Q49" i="18"/>
  <c r="P27" i="19"/>
  <c r="S48" i="21"/>
  <c r="K64" i="21"/>
  <c r="J64" i="21"/>
  <c r="J72" i="21" s="1"/>
  <c r="J73" i="21" s="1"/>
  <c r="O49" i="22"/>
  <c r="O47" i="22"/>
  <c r="O51" i="22"/>
  <c r="I71" i="22"/>
  <c r="I72" i="22" s="1"/>
  <c r="I73" i="22" s="1"/>
  <c r="O48" i="22"/>
  <c r="O46" i="22"/>
  <c r="O45" i="22"/>
  <c r="O44" i="22"/>
  <c r="O43" i="22"/>
  <c r="O27" i="22"/>
  <c r="J77" i="9"/>
  <c r="O51" i="10"/>
  <c r="Q51" i="11"/>
  <c r="O47" i="12"/>
  <c r="O49" i="12"/>
  <c r="J61" i="13"/>
  <c r="I75" i="13"/>
  <c r="P47" i="14"/>
  <c r="J77" i="14"/>
  <c r="Q47" i="15"/>
  <c r="H61" i="15"/>
  <c r="S47" i="16"/>
  <c r="S51" i="16"/>
  <c r="S48" i="16"/>
  <c r="S43" i="16"/>
  <c r="S45" i="16"/>
  <c r="Q49" i="17"/>
  <c r="N48" i="18"/>
  <c r="N46" i="18"/>
  <c r="N45" i="18"/>
  <c r="N44" i="18"/>
  <c r="N43" i="18"/>
  <c r="N27" i="18"/>
  <c r="Q47" i="18"/>
  <c r="Q49" i="20"/>
  <c r="Q45" i="20"/>
  <c r="Q44" i="20"/>
  <c r="Q51" i="20"/>
  <c r="Q48" i="20"/>
  <c r="Q43" i="20"/>
  <c r="Q27" i="20"/>
  <c r="Q46" i="20"/>
  <c r="R52" i="25"/>
  <c r="Q27" i="9"/>
  <c r="Q43" i="9"/>
  <c r="Q44" i="9"/>
  <c r="Q45" i="9"/>
  <c r="Q46" i="9"/>
  <c r="O27" i="10"/>
  <c r="O47" i="10"/>
  <c r="O49" i="10"/>
  <c r="Q27" i="11"/>
  <c r="Q47" i="11"/>
  <c r="P47" i="12"/>
  <c r="P47" i="13"/>
  <c r="Q47" i="14"/>
  <c r="N27" i="15"/>
  <c r="N43" i="15"/>
  <c r="N44" i="15"/>
  <c r="N45" i="15"/>
  <c r="N46" i="15"/>
  <c r="H77" i="15"/>
  <c r="T44" i="16"/>
  <c r="T47" i="16"/>
  <c r="Q44" i="18"/>
  <c r="N51" i="18"/>
  <c r="S51" i="21"/>
  <c r="K67" i="21"/>
  <c r="I60" i="22"/>
  <c r="J72" i="24"/>
  <c r="J73" i="24" s="1"/>
  <c r="Q52" i="25"/>
  <c r="Q48" i="25"/>
  <c r="Q46" i="25"/>
  <c r="Q45" i="25"/>
  <c r="Q44" i="25"/>
  <c r="Q43" i="25"/>
  <c r="Q27" i="25"/>
  <c r="Q49" i="25"/>
  <c r="K72" i="25"/>
  <c r="Q51" i="25"/>
  <c r="Q47" i="25"/>
  <c r="J77" i="15"/>
  <c r="P44" i="17"/>
  <c r="P47" i="17"/>
  <c r="P27" i="17"/>
  <c r="Q43" i="18"/>
  <c r="S43" i="21"/>
  <c r="L72" i="21"/>
  <c r="L73" i="21" s="1"/>
  <c r="Q46" i="17"/>
  <c r="Q44" i="17"/>
  <c r="L71" i="21"/>
  <c r="S46" i="21"/>
  <c r="S49" i="21"/>
  <c r="S47" i="21"/>
  <c r="S27" i="21"/>
  <c r="H60" i="24"/>
  <c r="B25" i="28"/>
  <c r="P53" i="30"/>
  <c r="S43" i="17"/>
  <c r="S48" i="17"/>
  <c r="S51" i="17"/>
  <c r="O27" i="18"/>
  <c r="O43" i="18"/>
  <c r="O44" i="18"/>
  <c r="O45" i="18"/>
  <c r="O46" i="18"/>
  <c r="O48" i="18"/>
  <c r="J61" i="18"/>
  <c r="S44" i="19"/>
  <c r="R47" i="19"/>
  <c r="P49" i="19"/>
  <c r="T47" i="20"/>
  <c r="R49" i="20"/>
  <c r="R43" i="21"/>
  <c r="P44" i="21"/>
  <c r="T46" i="21"/>
  <c r="R48" i="21"/>
  <c r="P51" i="21"/>
  <c r="K71" i="21"/>
  <c r="P48" i="22"/>
  <c r="R51" i="23"/>
  <c r="J70" i="26"/>
  <c r="N52" i="29"/>
  <c r="H72" i="29"/>
  <c r="N48" i="29"/>
  <c r="N46" i="29"/>
  <c r="N45" i="29"/>
  <c r="N44" i="29"/>
  <c r="N43" i="29"/>
  <c r="N51" i="29"/>
  <c r="I73" i="29"/>
  <c r="I74" i="29" s="1"/>
  <c r="H60" i="18"/>
  <c r="R49" i="19"/>
  <c r="T49" i="20"/>
  <c r="T43" i="21"/>
  <c r="P45" i="21"/>
  <c r="T48" i="21"/>
  <c r="J64" i="22"/>
  <c r="T46" i="23"/>
  <c r="T49" i="23"/>
  <c r="K64" i="23"/>
  <c r="K72" i="23" s="1"/>
  <c r="K73" i="23" s="1"/>
  <c r="B25" i="26"/>
  <c r="J69" i="29"/>
  <c r="I70" i="29"/>
  <c r="H39" i="32"/>
  <c r="H37" i="32"/>
  <c r="B37" i="32"/>
  <c r="O47" i="18"/>
  <c r="T49" i="19"/>
  <c r="P47" i="20"/>
  <c r="T44" i="21"/>
  <c r="P46" i="21"/>
  <c r="T51" i="21"/>
  <c r="H71" i="22"/>
  <c r="H72" i="22" s="1"/>
  <c r="H73" i="22" s="1"/>
  <c r="N49" i="22"/>
  <c r="N47" i="22"/>
  <c r="J67" i="23"/>
  <c r="J72" i="23" s="1"/>
  <c r="J73" i="23" s="1"/>
  <c r="L72" i="23"/>
  <c r="L73" i="23" s="1"/>
  <c r="N48" i="24"/>
  <c r="N46" i="24"/>
  <c r="N45" i="24"/>
  <c r="N44" i="24"/>
  <c r="N43" i="24"/>
  <c r="N27" i="24"/>
  <c r="I60" i="24"/>
  <c r="H65" i="25"/>
  <c r="H73" i="25" s="1"/>
  <c r="H74" i="25" s="1"/>
  <c r="I73" i="25"/>
  <c r="I74" i="25" s="1"/>
  <c r="B25" i="27"/>
  <c r="O53" i="27"/>
  <c r="I68" i="28"/>
  <c r="I73" i="28" s="1"/>
  <c r="I74" i="28" s="1"/>
  <c r="J73" i="30"/>
  <c r="J74" i="30" s="1"/>
  <c r="P49" i="20"/>
  <c r="P43" i="21"/>
  <c r="T45" i="21"/>
  <c r="P51" i="22"/>
  <c r="P49" i="22"/>
  <c r="P47" i="22"/>
  <c r="T27" i="23"/>
  <c r="B25" i="25"/>
  <c r="I68" i="25"/>
  <c r="H68" i="25"/>
  <c r="N52" i="26"/>
  <c r="H72" i="26"/>
  <c r="N48" i="26"/>
  <c r="N46" i="26"/>
  <c r="N45" i="26"/>
  <c r="N44" i="26"/>
  <c r="N43" i="26"/>
  <c r="N47" i="26"/>
  <c r="B26" i="26"/>
  <c r="N49" i="26"/>
  <c r="I65" i="26"/>
  <c r="N49" i="29"/>
  <c r="I73" i="30"/>
  <c r="I74" i="30" s="1"/>
  <c r="T27" i="19"/>
  <c r="T43" i="19"/>
  <c r="T48" i="19"/>
  <c r="N47" i="24"/>
  <c r="H72" i="24"/>
  <c r="H73" i="24" s="1"/>
  <c r="J68" i="25"/>
  <c r="J73" i="25" s="1"/>
  <c r="J74" i="25" s="1"/>
  <c r="C51" i="26"/>
  <c r="C26" i="26"/>
  <c r="I72" i="26"/>
  <c r="O48" i="26"/>
  <c r="O46" i="26"/>
  <c r="O45" i="26"/>
  <c r="O44" i="26"/>
  <c r="O43" i="26"/>
  <c r="O52" i="26"/>
  <c r="O51" i="26"/>
  <c r="O49" i="26"/>
  <c r="O27" i="26"/>
  <c r="O47" i="26"/>
  <c r="I70" i="26"/>
  <c r="N27" i="29"/>
  <c r="J73" i="29"/>
  <c r="J74" i="29" s="1"/>
  <c r="K77" i="22"/>
  <c r="Q44" i="23"/>
  <c r="P47" i="23"/>
  <c r="O27" i="25"/>
  <c r="P47" i="25"/>
  <c r="P49" i="25"/>
  <c r="B51" i="25"/>
  <c r="N51" i="25"/>
  <c r="J69" i="26"/>
  <c r="J73" i="26" s="1"/>
  <c r="J74" i="26" s="1"/>
  <c r="J65" i="27"/>
  <c r="J73" i="27" s="1"/>
  <c r="J74" i="27" s="1"/>
  <c r="I73" i="27"/>
  <c r="I74" i="27" s="1"/>
  <c r="K72" i="28"/>
  <c r="Q48" i="28"/>
  <c r="Q46" i="28"/>
  <c r="Q45" i="28"/>
  <c r="Q44" i="28"/>
  <c r="Q43" i="28"/>
  <c r="Q51" i="28"/>
  <c r="P27" i="28"/>
  <c r="B25" i="29"/>
  <c r="H69" i="30"/>
  <c r="H73" i="30" s="1"/>
  <c r="H74" i="30" s="1"/>
  <c r="H70" i="30"/>
  <c r="N53" i="27"/>
  <c r="R52" i="27"/>
  <c r="H69" i="27"/>
  <c r="H73" i="27" s="1"/>
  <c r="H74" i="27" s="1"/>
  <c r="H68" i="28"/>
  <c r="P53" i="29"/>
  <c r="I69" i="29"/>
  <c r="H69" i="29"/>
  <c r="H73" i="29" s="1"/>
  <c r="H74" i="29" s="1"/>
  <c r="O53" i="30"/>
  <c r="J72" i="26"/>
  <c r="P48" i="26"/>
  <c r="P46" i="26"/>
  <c r="P45" i="26"/>
  <c r="P44" i="26"/>
  <c r="P43" i="26"/>
  <c r="P51" i="26"/>
  <c r="B51" i="27"/>
  <c r="B26" i="27"/>
  <c r="H72" i="27"/>
  <c r="N48" i="27"/>
  <c r="N46" i="27"/>
  <c r="N45" i="27"/>
  <c r="N44" i="27"/>
  <c r="N43" i="27"/>
  <c r="N51" i="27"/>
  <c r="N27" i="27"/>
  <c r="P51" i="28"/>
  <c r="H73" i="28"/>
  <c r="H74" i="28" s="1"/>
  <c r="O52" i="29"/>
  <c r="O53" i="29" s="1"/>
  <c r="I72" i="29"/>
  <c r="O48" i="29"/>
  <c r="O46" i="29"/>
  <c r="O45" i="29"/>
  <c r="O44" i="29"/>
  <c r="O43" i="29"/>
  <c r="O51" i="29"/>
  <c r="C26" i="29"/>
  <c r="O27" i="29"/>
  <c r="O49" i="29"/>
  <c r="I77" i="22"/>
  <c r="Q27" i="23"/>
  <c r="Q43" i="23"/>
  <c r="Q48" i="23"/>
  <c r="P47" i="24"/>
  <c r="Q51" i="24"/>
  <c r="N47" i="25"/>
  <c r="N49" i="25"/>
  <c r="P52" i="25"/>
  <c r="P53" i="25" s="1"/>
  <c r="Q51" i="26"/>
  <c r="P27" i="26"/>
  <c r="Q46" i="26"/>
  <c r="P49" i="26"/>
  <c r="H69" i="26"/>
  <c r="H73" i="26" s="1"/>
  <c r="H74" i="26" s="1"/>
  <c r="O51" i="27"/>
  <c r="N49" i="27"/>
  <c r="O52" i="28"/>
  <c r="I72" i="28"/>
  <c r="O48" i="28"/>
  <c r="O46" i="28"/>
  <c r="O45" i="28"/>
  <c r="O44" i="28"/>
  <c r="O43" i="28"/>
  <c r="J72" i="29"/>
  <c r="P48" i="29"/>
  <c r="P46" i="29"/>
  <c r="P45" i="29"/>
  <c r="P44" i="29"/>
  <c r="P43" i="29"/>
  <c r="P51" i="29"/>
  <c r="P27" i="29"/>
  <c r="P49" i="29"/>
  <c r="R43" i="23"/>
  <c r="R48" i="23"/>
  <c r="Q47" i="24"/>
  <c r="O47" i="25"/>
  <c r="Q27" i="26"/>
  <c r="Q43" i="26"/>
  <c r="Q49" i="26"/>
  <c r="P52" i="26"/>
  <c r="P53" i="26" s="1"/>
  <c r="P51" i="27"/>
  <c r="P52" i="28"/>
  <c r="P53" i="28" s="1"/>
  <c r="J72" i="28"/>
  <c r="J73" i="28" s="1"/>
  <c r="J74" i="28" s="1"/>
  <c r="P48" i="28"/>
  <c r="P46" i="28"/>
  <c r="P45" i="28"/>
  <c r="P44" i="28"/>
  <c r="P43" i="28"/>
  <c r="Q49" i="28"/>
  <c r="Q52" i="28"/>
  <c r="B51" i="30"/>
  <c r="B26" i="30"/>
  <c r="H72" i="30"/>
  <c r="N48" i="30"/>
  <c r="N46" i="30"/>
  <c r="N45" i="30"/>
  <c r="N44" i="30"/>
  <c r="N43" i="30"/>
  <c r="N51" i="30"/>
  <c r="N27" i="30"/>
  <c r="O47" i="27"/>
  <c r="O49" i="27"/>
  <c r="Q47" i="29"/>
  <c r="Q49" i="29"/>
  <c r="O47" i="30"/>
  <c r="O49" i="30"/>
  <c r="Q52" i="30"/>
  <c r="H41" i="31"/>
  <c r="C26" i="27"/>
  <c r="O27" i="27"/>
  <c r="P47" i="27"/>
  <c r="P49" i="27"/>
  <c r="Q27" i="29"/>
  <c r="P47" i="30"/>
  <c r="P49" i="30"/>
  <c r="I41" i="31"/>
  <c r="P27" i="27"/>
  <c r="Q47" i="27"/>
  <c r="Q49" i="27"/>
  <c r="Q51" i="29"/>
  <c r="Q47" i="30"/>
  <c r="Q49" i="30"/>
  <c r="J41" i="31"/>
  <c r="H41" i="33"/>
  <c r="N47" i="28"/>
  <c r="Q27" i="30"/>
  <c r="P51" i="30"/>
  <c r="K41" i="31"/>
  <c r="I41" i="32"/>
  <c r="I41" i="33"/>
  <c r="Q43" i="29"/>
  <c r="Q44" i="29"/>
  <c r="Q45" i="29"/>
  <c r="Q46" i="29"/>
  <c r="Q48" i="29"/>
  <c r="O43" i="30"/>
  <c r="O44" i="30"/>
  <c r="O45" i="30"/>
  <c r="O46" i="30"/>
  <c r="O48" i="30"/>
  <c r="J41" i="32"/>
  <c r="J41" i="33"/>
  <c r="K41" i="32"/>
  <c r="K41" i="33"/>
  <c r="J79" i="12" l="1"/>
  <c r="N50" i="27"/>
  <c r="I79" i="12"/>
  <c r="B25" i="12"/>
  <c r="O50" i="30"/>
  <c r="N50" i="28"/>
  <c r="H79" i="12"/>
  <c r="H64" i="26"/>
  <c r="J64" i="20"/>
  <c r="O53" i="28"/>
  <c r="R52" i="28"/>
  <c r="N53" i="28"/>
  <c r="K72" i="21"/>
  <c r="K73" i="21" s="1"/>
  <c r="H61" i="29"/>
  <c r="H60" i="29"/>
  <c r="I61" i="28"/>
  <c r="I60" i="28"/>
  <c r="J61" i="25"/>
  <c r="J60" i="25"/>
  <c r="K61" i="27"/>
  <c r="K60" i="27"/>
  <c r="M60" i="19"/>
  <c r="M61" i="19"/>
  <c r="L61" i="21"/>
  <c r="L60" i="21"/>
  <c r="L77" i="16"/>
  <c r="M77" i="16"/>
  <c r="J77" i="16"/>
  <c r="K77" i="16"/>
  <c r="K61" i="20"/>
  <c r="K60" i="20"/>
  <c r="K61" i="1"/>
  <c r="K60" i="1"/>
  <c r="J60" i="4"/>
  <c r="J61" i="4"/>
  <c r="O53" i="25"/>
  <c r="H61" i="26"/>
  <c r="H60" i="26"/>
  <c r="J60" i="27"/>
  <c r="J61" i="27"/>
  <c r="M77" i="21"/>
  <c r="K77" i="21"/>
  <c r="J77" i="21"/>
  <c r="L77" i="21"/>
  <c r="J61" i="21"/>
  <c r="J60" i="21"/>
  <c r="I61" i="21"/>
  <c r="I60" i="21"/>
  <c r="I61" i="17"/>
  <c r="I60" i="17"/>
  <c r="K61" i="16"/>
  <c r="K60" i="16"/>
  <c r="M77" i="2"/>
  <c r="L77" i="2"/>
  <c r="J77" i="2"/>
  <c r="D6" i="2"/>
  <c r="K77" i="2"/>
  <c r="J64" i="2"/>
  <c r="L61" i="1"/>
  <c r="L60" i="1"/>
  <c r="K60" i="28"/>
  <c r="K61" i="28"/>
  <c r="I60" i="30"/>
  <c r="I61" i="30"/>
  <c r="K61" i="25"/>
  <c r="K60" i="25"/>
  <c r="I61" i="26"/>
  <c r="I60" i="26"/>
  <c r="L61" i="23"/>
  <c r="L60" i="23"/>
  <c r="M77" i="23"/>
  <c r="L77" i="23"/>
  <c r="J77" i="23"/>
  <c r="K77" i="23"/>
  <c r="J60" i="19"/>
  <c r="J61" i="19"/>
  <c r="J64" i="16"/>
  <c r="I61" i="20"/>
  <c r="I60" i="20"/>
  <c r="K61" i="4"/>
  <c r="K60" i="4"/>
  <c r="O53" i="26"/>
  <c r="I61" i="29"/>
  <c r="I60" i="29"/>
  <c r="J79" i="28"/>
  <c r="I79" i="28"/>
  <c r="H79" i="28"/>
  <c r="K78" i="28"/>
  <c r="J78" i="28"/>
  <c r="I78" i="28"/>
  <c r="H78" i="28"/>
  <c r="C6" i="28"/>
  <c r="K79" i="28"/>
  <c r="P50" i="28"/>
  <c r="H79" i="30"/>
  <c r="K78" i="30"/>
  <c r="J78" i="30"/>
  <c r="I78" i="30"/>
  <c r="H78" i="30"/>
  <c r="K79" i="30"/>
  <c r="J79" i="30"/>
  <c r="C6" i="30"/>
  <c r="N50" i="30"/>
  <c r="I79" i="30"/>
  <c r="J61" i="28"/>
  <c r="J60" i="28"/>
  <c r="K61" i="23"/>
  <c r="K60" i="23"/>
  <c r="K77" i="17"/>
  <c r="L77" i="17"/>
  <c r="J77" i="17"/>
  <c r="M77" i="17"/>
  <c r="L60" i="17"/>
  <c r="L61" i="17"/>
  <c r="I61" i="16"/>
  <c r="I60" i="16"/>
  <c r="J61" i="20"/>
  <c r="J60" i="20"/>
  <c r="J61" i="2"/>
  <c r="J60" i="2"/>
  <c r="L60" i="4"/>
  <c r="L61" i="4"/>
  <c r="I73" i="26"/>
  <c r="I74" i="26" s="1"/>
  <c r="H42" i="32"/>
  <c r="H41" i="32"/>
  <c r="J60" i="29"/>
  <c r="J61" i="29"/>
  <c r="H61" i="28"/>
  <c r="H60" i="28"/>
  <c r="H60" i="25"/>
  <c r="H61" i="25"/>
  <c r="J60" i="26"/>
  <c r="J61" i="26"/>
  <c r="H64" i="27"/>
  <c r="I61" i="19"/>
  <c r="I60" i="19"/>
  <c r="L77" i="19"/>
  <c r="J77" i="19"/>
  <c r="K77" i="19"/>
  <c r="M77" i="19"/>
  <c r="K60" i="17"/>
  <c r="K61" i="17"/>
  <c r="L60" i="16"/>
  <c r="L61" i="16"/>
  <c r="L60" i="20"/>
  <c r="L61" i="20"/>
  <c r="I60" i="2"/>
  <c r="I61" i="2"/>
  <c r="I60" i="1"/>
  <c r="I61" i="1"/>
  <c r="I61" i="4"/>
  <c r="I60" i="4"/>
  <c r="M61" i="4"/>
  <c r="M60" i="4"/>
  <c r="J60" i="30"/>
  <c r="J61" i="30"/>
  <c r="I60" i="23"/>
  <c r="I61" i="23"/>
  <c r="H60" i="27"/>
  <c r="H61" i="27"/>
  <c r="M60" i="2"/>
  <c r="M61" i="2"/>
  <c r="P50" i="21"/>
  <c r="R50" i="21"/>
  <c r="H64" i="29"/>
  <c r="J78" i="27"/>
  <c r="I78" i="27"/>
  <c r="H78" i="27"/>
  <c r="K79" i="27"/>
  <c r="J79" i="27"/>
  <c r="I79" i="27"/>
  <c r="K78" i="27"/>
  <c r="C6" i="27"/>
  <c r="O50" i="27"/>
  <c r="H79" i="27"/>
  <c r="H64" i="28"/>
  <c r="K60" i="30"/>
  <c r="K61" i="30"/>
  <c r="H64" i="25"/>
  <c r="M60" i="23"/>
  <c r="M61" i="23"/>
  <c r="M60" i="17"/>
  <c r="M61" i="17"/>
  <c r="M61" i="16"/>
  <c r="M60" i="16"/>
  <c r="J61" i="12"/>
  <c r="H61" i="12"/>
  <c r="B6" i="12"/>
  <c r="K61" i="12"/>
  <c r="I61" i="12"/>
  <c r="M61" i="20"/>
  <c r="M60" i="20"/>
  <c r="J77" i="4"/>
  <c r="L77" i="4"/>
  <c r="M77" i="4"/>
  <c r="K77" i="4"/>
  <c r="N53" i="29"/>
  <c r="R52" i="29"/>
  <c r="I61" i="25"/>
  <c r="I60" i="25"/>
  <c r="I79" i="29"/>
  <c r="H79" i="29"/>
  <c r="C6" i="29"/>
  <c r="K78" i="29"/>
  <c r="J78" i="29"/>
  <c r="I78" i="29"/>
  <c r="J79" i="29"/>
  <c r="O50" i="29"/>
  <c r="K79" i="29"/>
  <c r="H78" i="29"/>
  <c r="P50" i="29"/>
  <c r="L60" i="19"/>
  <c r="L61" i="19"/>
  <c r="M60" i="21"/>
  <c r="M61" i="21"/>
  <c r="J60" i="17"/>
  <c r="J61" i="17"/>
  <c r="K61" i="2"/>
  <c r="K60" i="2"/>
  <c r="N53" i="26"/>
  <c r="R52" i="26"/>
  <c r="K60" i="29"/>
  <c r="K61" i="29"/>
  <c r="H60" i="30"/>
  <c r="H61" i="30"/>
  <c r="K60" i="26"/>
  <c r="K61" i="26"/>
  <c r="J61" i="23"/>
  <c r="J60" i="23"/>
  <c r="I60" i="27"/>
  <c r="I61" i="27"/>
  <c r="L77" i="20"/>
  <c r="K77" i="20"/>
  <c r="M77" i="20"/>
  <c r="J77" i="20"/>
  <c r="K61" i="19"/>
  <c r="K60" i="19"/>
  <c r="K60" i="21"/>
  <c r="K61" i="21"/>
  <c r="J61" i="16"/>
  <c r="J60" i="16"/>
  <c r="L61" i="2"/>
  <c r="L60" i="2"/>
  <c r="M60" i="1"/>
  <c r="M61" i="1"/>
  <c r="J61" i="1"/>
  <c r="J60" i="1"/>
  <c r="J82" i="12" l="1"/>
  <c r="H82" i="12"/>
  <c r="K83" i="12"/>
  <c r="H83" i="12"/>
  <c r="J83" i="12"/>
  <c r="C6" i="12"/>
  <c r="I83" i="12"/>
  <c r="K82" i="12"/>
  <c r="O50" i="12"/>
  <c r="I82" i="12"/>
  <c r="N50" i="12"/>
  <c r="P50" i="12"/>
</calcChain>
</file>

<file path=xl/sharedStrings.xml><?xml version="1.0" encoding="utf-8"?>
<sst xmlns="http://schemas.openxmlformats.org/spreadsheetml/2006/main" count="4417" uniqueCount="181">
  <si>
    <t>Market Value</t>
  </si>
  <si>
    <t>Entr. Value</t>
  </si>
  <si>
    <t>Shares</t>
  </si>
  <si>
    <t>BALANCE SHEET</t>
  </si>
  <si>
    <t>STATEMENT OF INCOME</t>
  </si>
  <si>
    <t>CASH FLOW</t>
  </si>
  <si>
    <t>Current Assets</t>
  </si>
  <si>
    <t>Sales</t>
  </si>
  <si>
    <t>Net Income</t>
  </si>
  <si>
    <t>Inventory</t>
  </si>
  <si>
    <t>Sales Cost</t>
  </si>
  <si>
    <t>Depreciation</t>
  </si>
  <si>
    <t>Investments</t>
  </si>
  <si>
    <t>Total Income</t>
  </si>
  <si>
    <t>Accounts Receivable</t>
  </si>
  <si>
    <t>Fixed Assets</t>
  </si>
  <si>
    <t>Other Revenues</t>
  </si>
  <si>
    <t>Other Assets</t>
  </si>
  <si>
    <t>Total Revenues</t>
  </si>
  <si>
    <t>Prepaid Expenses</t>
  </si>
  <si>
    <t>Total Assets</t>
  </si>
  <si>
    <t>Admin and Marketing Expenses</t>
  </si>
  <si>
    <t>Accounts Payable</t>
  </si>
  <si>
    <t>Current Liabilities</t>
  </si>
  <si>
    <t>Other Changes in Oper. Activity</t>
  </si>
  <si>
    <t>Non-Current Liabilities</t>
  </si>
  <si>
    <t>Other Expenses</t>
  </si>
  <si>
    <t>Purchases of Fixed Assets</t>
  </si>
  <si>
    <t>Other Liabilities</t>
  </si>
  <si>
    <t>Total Expenses</t>
  </si>
  <si>
    <t>Other Changes in Investing Act.</t>
  </si>
  <si>
    <t>Shareholders Equity</t>
  </si>
  <si>
    <t>Net Income Before Zakat</t>
  </si>
  <si>
    <t>Increase in Debts</t>
  </si>
  <si>
    <t>Minority Interests</t>
  </si>
  <si>
    <t>Zakat</t>
  </si>
  <si>
    <t>Other Changes in Financing Act.</t>
  </si>
  <si>
    <t>Total Liabilities and Shareholder Equity</t>
  </si>
  <si>
    <t>Cash at Begining of Period</t>
  </si>
  <si>
    <t>Balance First Period</t>
  </si>
  <si>
    <t>Cash at End of Period</t>
  </si>
  <si>
    <t>Reserves</t>
  </si>
  <si>
    <t>Cash From Operations</t>
  </si>
  <si>
    <t>Cash Dividends</t>
  </si>
  <si>
    <t>Cash from Investing</t>
  </si>
  <si>
    <t>Other Distributions</t>
  </si>
  <si>
    <t>Cash from Financing</t>
  </si>
  <si>
    <t>Balance End Period</t>
  </si>
  <si>
    <t>Net Cash</t>
  </si>
  <si>
    <t>CFO/Revenue</t>
  </si>
  <si>
    <t>CFO/Assests</t>
  </si>
  <si>
    <t>CFO/Equity</t>
  </si>
  <si>
    <t>CFO/Income</t>
  </si>
  <si>
    <t>CFO/Debt</t>
  </si>
  <si>
    <t>Cfo/dividends</t>
  </si>
  <si>
    <t>Reinvestment</t>
  </si>
  <si>
    <t>Income Growth</t>
  </si>
  <si>
    <t>Current Ratio</t>
  </si>
  <si>
    <t>Gross Profit</t>
  </si>
  <si>
    <t>Sloan Ratio</t>
  </si>
  <si>
    <t>ROA</t>
  </si>
  <si>
    <t>SGA Ratio</t>
  </si>
  <si>
    <t>ROE</t>
  </si>
  <si>
    <t>Inventory TurnOver</t>
  </si>
  <si>
    <t>Payout Ratio</t>
  </si>
  <si>
    <t>Debt Ratio</t>
  </si>
  <si>
    <t>Profit Margin</t>
  </si>
  <si>
    <t>D/E</t>
  </si>
  <si>
    <t>Gross Profiabilty</t>
  </si>
  <si>
    <t>Asset Turnover</t>
  </si>
  <si>
    <t>Shareholder Yield</t>
  </si>
  <si>
    <t>Leverage</t>
  </si>
  <si>
    <t>Earning Per Share</t>
  </si>
  <si>
    <t>Book value per share</t>
  </si>
  <si>
    <t>Graham Number</t>
  </si>
  <si>
    <t>Economic Earnings</t>
  </si>
  <si>
    <t>Dividend</t>
  </si>
  <si>
    <t>1- Q1 2016 was underwhelming because of the decrease of the urea and amonia prices .</t>
  </si>
  <si>
    <t>4- Dividens are half annual and i should look closely at this company</t>
  </si>
  <si>
    <t>2- Major investment banks advise not to invest</t>
  </si>
  <si>
    <t>5- Advanced look healthier and didnt suffer from the falling prices of oil</t>
  </si>
  <si>
    <t>3- I dont think it is good to invest in it although it has a great track record of dividens and good fundemtals</t>
  </si>
  <si>
    <t>1- Average Fundementals</t>
  </si>
  <si>
    <t>2- Sustained the oil prices downturn</t>
  </si>
  <si>
    <t>-</t>
  </si>
  <si>
    <t>Total Dividend</t>
  </si>
  <si>
    <t>BtM</t>
  </si>
  <si>
    <t>P/E</t>
  </si>
  <si>
    <t>P/B</t>
  </si>
  <si>
    <t>EBITDA/TEV</t>
  </si>
  <si>
    <t>ROCE</t>
  </si>
  <si>
    <t>PE</t>
  </si>
  <si>
    <t>1- Good Fundementals compared to the sector</t>
  </si>
  <si>
    <t>2- Good dividends in reference to the price</t>
  </si>
  <si>
    <t>3- Good investment choice</t>
  </si>
  <si>
    <t>5- The banks advise to buy it.</t>
  </si>
  <si>
    <t>CASH FLOWS</t>
  </si>
  <si>
    <t>EPS</t>
  </si>
  <si>
    <t>Book Value</t>
  </si>
  <si>
    <t>Operating Cash flow</t>
  </si>
  <si>
    <t>1- Very good Fundementals</t>
  </si>
  <si>
    <t>2- Good dividens every  quarter</t>
  </si>
  <si>
    <t>3- Strong Quarter results</t>
  </si>
  <si>
    <t>4- Above the average of the Sector</t>
  </si>
  <si>
    <t>Free Cash Flow</t>
  </si>
  <si>
    <t>GMI</t>
  </si>
  <si>
    <t>SGI</t>
  </si>
  <si>
    <t>DSRI</t>
  </si>
  <si>
    <t>SGAI</t>
  </si>
  <si>
    <t>DI</t>
  </si>
  <si>
    <t>LI</t>
  </si>
  <si>
    <t>AQI</t>
  </si>
  <si>
    <t>TATA</t>
  </si>
  <si>
    <t>M</t>
  </si>
  <si>
    <t>4/30/1437</t>
  </si>
  <si>
    <t>4/30/1436</t>
  </si>
  <si>
    <t>4/29/1435</t>
  </si>
  <si>
    <t>4/30/1434</t>
  </si>
  <si>
    <t>Free Cash Flows</t>
  </si>
  <si>
    <t>FCF</t>
  </si>
  <si>
    <t>Working Capital</t>
  </si>
  <si>
    <t>FCA/EV</t>
  </si>
  <si>
    <t>EV/EBIT</t>
  </si>
  <si>
    <t>FCFE</t>
  </si>
  <si>
    <t>Cash in Bank and SAMA</t>
  </si>
  <si>
    <t>Special Commission Income</t>
  </si>
  <si>
    <t>Due from Banks</t>
  </si>
  <si>
    <t>Special Commission Expenses</t>
  </si>
  <si>
    <t>Net Special Commission Income</t>
  </si>
  <si>
    <t>Gain/Loss on Sale of Fixed Assets</t>
  </si>
  <si>
    <t>Loans and Advances</t>
  </si>
  <si>
    <t>Fees from Services</t>
  </si>
  <si>
    <t>Provision for Possible Credit Loss</t>
  </si>
  <si>
    <t>Fixed Assets Net</t>
  </si>
  <si>
    <t>Exchange Income</t>
  </si>
  <si>
    <t>Net Accrtn of Discnts and Premium Amort</t>
  </si>
  <si>
    <t>Other Assets Net</t>
  </si>
  <si>
    <t>Trading Income</t>
  </si>
  <si>
    <t>Net Gains from Investments</t>
  </si>
  <si>
    <t>Trading Securities</t>
  </si>
  <si>
    <t>Realized Gains on Investments, net</t>
  </si>
  <si>
    <t>Dividend Income</t>
  </si>
  <si>
    <t>Due to Banks</t>
  </si>
  <si>
    <t>Other Operating Income</t>
  </si>
  <si>
    <t>Customer Deposits</t>
  </si>
  <si>
    <t>Total Operating Income</t>
  </si>
  <si>
    <t>Salaries and Employees Benefits</t>
  </si>
  <si>
    <t>Net Change in Operat. Liabilities</t>
  </si>
  <si>
    <t>Total Liabilities</t>
  </si>
  <si>
    <t>Rent and Premises</t>
  </si>
  <si>
    <t>Share Capital</t>
  </si>
  <si>
    <t>Deposits</t>
  </si>
  <si>
    <t>General Reserves</t>
  </si>
  <si>
    <t>Other General and Admin Expenses</t>
  </si>
  <si>
    <t>Statutary Reserves</t>
  </si>
  <si>
    <t>Provision for Credit Losses</t>
  </si>
  <si>
    <t>Net Cash Used in Operations</t>
  </si>
  <si>
    <t>Retained Earnings</t>
  </si>
  <si>
    <t>Total Operating Expenses</t>
  </si>
  <si>
    <t>Proceeds from Mat/Sale Investments</t>
  </si>
  <si>
    <t>Fair Value/Cash Flow Hedges Adj Act</t>
  </si>
  <si>
    <t>Extraordinary item</t>
  </si>
  <si>
    <t>Purchase of Investment</t>
  </si>
  <si>
    <t>Net Income from Operations</t>
  </si>
  <si>
    <t>Fair Value</t>
  </si>
  <si>
    <t>Balance at Beginning of Period</t>
  </si>
  <si>
    <t>Transferred to Reserves</t>
  </si>
  <si>
    <t>Proceeds from Sell of Fixed Assets</t>
  </si>
  <si>
    <t>Contra Accounts</t>
  </si>
  <si>
    <t>Cash Dividend</t>
  </si>
  <si>
    <t>Net Cash from Investing Activities</t>
  </si>
  <si>
    <t>Dividend Paid</t>
  </si>
  <si>
    <t>Balance at End of Period</t>
  </si>
  <si>
    <t>Cash Used for Financing Activities</t>
  </si>
  <si>
    <t>Net Changes in Cash and SAMA</t>
  </si>
  <si>
    <t>Cash and Balances with SAMA Beg. Year</t>
  </si>
  <si>
    <t>Cash and Balances with SAMA End Year</t>
  </si>
  <si>
    <t>NIM</t>
  </si>
  <si>
    <t>Investments / Deposits</t>
  </si>
  <si>
    <t>Loans / Deposits</t>
  </si>
  <si>
    <t>Econmic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</si>
</sst>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"/>
    <numFmt numFmtId="165" formatCode="0.0"/>
    <numFmt numFmtId="166" formatCode="0.0000"/>
    <numFmt numFmtId="167" formatCode="yyyy\-mm\-dd"/>
  </numFmts>
  <fonts count="26"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11"/>
      <name val="Calibri"/>
      <family val="2"/>
      <charset val="1"/>
    </font>
    <font>
      <sz val="11"/>
      <color rgb="FF000000"/>
      <name val="Helvetica Neue"/>
      <charset val="1"/>
    </font>
    <font>
      <sz val="11"/>
      <color rgb="FFCCCCCC"/>
      <name val="&quot;Helvetica Neue&quot;"/>
      <charset val="1"/>
    </font>
    <font>
      <b/>
      <sz val="9"/>
      <color rgb="FF000000"/>
      <name val="Calibri"/>
      <family val="2"/>
      <charset val="1"/>
    </font>
    <font>
      <sz val="11"/>
      <color rgb="FF333333"/>
      <name val="&quot;Helvetica Neue&quot;"/>
      <charset val="1"/>
    </font>
    <font>
      <sz val="9"/>
      <color rgb="FF53A528"/>
      <name val="&quot;Helvetica Neue&quot;"/>
      <charset val="1"/>
    </font>
    <font>
      <sz val="9"/>
      <color rgb="FF63831D"/>
      <name val="Calibri"/>
      <family val="2"/>
      <charset val="1"/>
    </font>
    <font>
      <sz val="9"/>
      <color rgb="FFDC2A4C"/>
      <name val="&quot;Helvetica Neue&quot;"/>
      <charset val="1"/>
    </font>
    <font>
      <sz val="9"/>
      <color rgb="FFC10808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CCCCCC"/>
      <name val="Helvetica Neue"/>
      <charset val="1"/>
    </font>
    <font>
      <sz val="11"/>
      <color rgb="FF333333"/>
      <name val="Helvetica Neue"/>
      <charset val="1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Tahoma"/>
      <family val="2"/>
      <charset val="1"/>
    </font>
    <font>
      <sz val="9"/>
      <color rgb="FF53A528"/>
      <name val="Helvetica Neue"/>
      <charset val="1"/>
    </font>
    <font>
      <sz val="11"/>
      <name val="Tahoma"/>
      <family val="2"/>
      <charset val="1"/>
    </font>
    <font>
      <sz val="9"/>
      <color rgb="FFDC2A4C"/>
      <name val="Helvetica Neue"/>
      <charset val="1"/>
    </font>
    <font>
      <sz val="9"/>
      <name val="Calibri"/>
      <family val="2"/>
      <charset val="1"/>
    </font>
    <font>
      <sz val="11"/>
      <color rgb="FFCCCCCC"/>
      <name val="Helvetica Neue"/>
      <charset val="1"/>
    </font>
  </fonts>
  <fills count="7">
    <fill>
      <patternFill patternType="none"/>
    </fill>
    <fill>
      <patternFill patternType="gray125"/>
    </fill>
    <fill>
      <patternFill patternType="solid">
        <fgColor rgb="FFF0F5F8"/>
        <bgColor rgb="FFEEEEEE"/>
      </patternFill>
    </fill>
    <fill>
      <patternFill patternType="solid">
        <fgColor rgb="FF192D34"/>
        <bgColor rgb="FF333333"/>
      </patternFill>
    </fill>
    <fill>
      <patternFill patternType="solid">
        <fgColor rgb="FFEDEBE7"/>
        <bgColor rgb="FFEEEEEE"/>
      </patternFill>
    </fill>
    <fill>
      <patternFill patternType="solid">
        <fgColor rgb="FFFFFFFF"/>
        <bgColor rgb="FFF0F5F8"/>
      </patternFill>
    </fill>
    <fill>
      <patternFill patternType="solid">
        <fgColor rgb="FFFCE5CD"/>
        <bgColor rgb="FFEDEBE7"/>
      </patternFill>
    </fill>
  </fills>
  <borders count="3">
    <border>
      <left/>
      <right/>
      <top/>
      <bottom/>
      <diagonal/>
    </border>
    <border>
      <left/>
      <right/>
      <top/>
      <bottom style="thin">
        <color rgb="FFBBD3ED"/>
      </bottom>
      <diagonal/>
    </border>
    <border>
      <left/>
      <right/>
      <top/>
      <bottom style="thin">
        <color rgb="FFEEEEEE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4" fontId="0" fillId="2" borderId="0" xfId="0" applyNumberFormat="1" applyFont="1" applyFill="1" applyBorder="1" applyAlignment="1"/>
    <xf numFmtId="3" fontId="2" fillId="0" borderId="0" xfId="0" applyNumberFormat="1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3" borderId="0" xfId="0" applyFon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5" fillId="4" borderId="0" xfId="0" applyNumberFormat="1" applyFont="1" applyFill="1" applyBorder="1" applyAlignment="1">
      <alignment horizontal="center"/>
    </xf>
    <xf numFmtId="0" fontId="6" fillId="0" borderId="0" xfId="0" applyFont="1" applyAlignment="1"/>
    <xf numFmtId="3" fontId="7" fillId="0" borderId="0" xfId="0" applyNumberFormat="1" applyFont="1" applyAlignment="1">
      <alignment horizontal="right"/>
    </xf>
    <xf numFmtId="3" fontId="8" fillId="5" borderId="1" xfId="0" applyNumberFormat="1" applyFont="1" applyFill="1" applyBorder="1" applyAlignment="1">
      <alignment horizontal="center"/>
    </xf>
    <xf numFmtId="3" fontId="9" fillId="0" borderId="0" xfId="0" applyNumberFormat="1" applyFont="1" applyAlignment="1">
      <alignment horizontal="right"/>
    </xf>
    <xf numFmtId="3" fontId="10" fillId="5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1" fillId="5" borderId="1" xfId="0" applyFont="1" applyFill="1" applyBorder="1" applyAlignment="1">
      <alignment horizontal="center"/>
    </xf>
    <xf numFmtId="3" fontId="6" fillId="0" borderId="0" xfId="0" applyNumberFormat="1" applyFont="1" applyAlignment="1">
      <alignment horizontal="right"/>
    </xf>
    <xf numFmtId="3" fontId="8" fillId="5" borderId="0" xfId="0" applyNumberFormat="1" applyFont="1" applyFill="1" applyAlignment="1">
      <alignment horizontal="center"/>
    </xf>
    <xf numFmtId="0" fontId="5" fillId="4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164" fontId="12" fillId="3" borderId="0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10" fontId="0" fillId="0" borderId="0" xfId="0" applyNumberFormat="1" applyFont="1" applyAlignment="1"/>
    <xf numFmtId="0" fontId="13" fillId="0" borderId="0" xfId="0" applyFont="1" applyAlignment="1"/>
    <xf numFmtId="10" fontId="0" fillId="0" borderId="0" xfId="0" applyNumberFormat="1" applyFont="1" applyAlignment="1">
      <alignment horizontal="center"/>
    </xf>
    <xf numFmtId="0" fontId="11" fillId="5" borderId="0" xfId="0" applyFont="1" applyFill="1" applyBorder="1" applyAlignment="1">
      <alignment horizontal="left"/>
    </xf>
    <xf numFmtId="10" fontId="2" fillId="0" borderId="0" xfId="0" applyNumberFormat="1" applyFont="1" applyAlignment="1"/>
    <xf numFmtId="0" fontId="14" fillId="5" borderId="0" xfId="0" applyFont="1" applyFill="1" applyBorder="1" applyAlignment="1">
      <alignment horizontal="left" vertical="center"/>
    </xf>
    <xf numFmtId="2" fontId="15" fillId="0" borderId="0" xfId="0" applyNumberFormat="1" applyFont="1" applyAlignment="1"/>
    <xf numFmtId="9" fontId="15" fillId="0" borderId="0" xfId="0" applyNumberFormat="1" applyFont="1" applyAlignment="1"/>
    <xf numFmtId="10" fontId="8" fillId="5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10" fontId="16" fillId="0" borderId="0" xfId="0" applyNumberFormat="1" applyFont="1" applyAlignment="1">
      <alignment horizontal="left"/>
    </xf>
    <xf numFmtId="165" fontId="16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/>
    </xf>
    <xf numFmtId="2" fontId="2" fillId="0" borderId="0" xfId="0" applyNumberFormat="1" applyFont="1" applyAlignment="1"/>
    <xf numFmtId="0" fontId="2" fillId="0" borderId="0" xfId="0" applyFont="1" applyAlignment="1">
      <alignment horizontal="left"/>
    </xf>
    <xf numFmtId="165" fontId="17" fillId="5" borderId="2" xfId="0" applyNumberFormat="1" applyFont="1" applyFill="1" applyBorder="1" applyAlignment="1">
      <alignment horizontal="left" vertical="top"/>
    </xf>
    <xf numFmtId="0" fontId="18" fillId="0" borderId="0" xfId="0" applyFont="1" applyAlignment="1"/>
    <xf numFmtId="2" fontId="19" fillId="6" borderId="0" xfId="0" applyNumberFormat="1" applyFont="1" applyFill="1" applyAlignment="1">
      <alignment horizontal="right"/>
    </xf>
    <xf numFmtId="2" fontId="19" fillId="6" borderId="0" xfId="0" applyNumberFormat="1" applyFont="1" applyFill="1" applyBorder="1" applyAlignment="1">
      <alignment horizontal="right"/>
    </xf>
    <xf numFmtId="3" fontId="11" fillId="5" borderId="1" xfId="0" applyNumberFormat="1" applyFont="1" applyFill="1" applyBorder="1" applyAlignment="1">
      <alignment horizontal="center"/>
    </xf>
    <xf numFmtId="9" fontId="15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4" fontId="20" fillId="0" borderId="0" xfId="0" applyNumberFormat="1" applyFont="1" applyAlignment="1">
      <alignment horizontal="right"/>
    </xf>
    <xf numFmtId="10" fontId="15" fillId="0" borderId="0" xfId="0" applyNumberFormat="1" applyFont="1" applyAlignment="1"/>
    <xf numFmtId="10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17" fillId="5" borderId="2" xfId="0" applyNumberFormat="1" applyFont="1" applyFill="1" applyBorder="1" applyAlignment="1">
      <alignment horizontal="center" vertical="top"/>
    </xf>
    <xf numFmtId="0" fontId="21" fillId="0" borderId="0" xfId="0" applyFont="1" applyAlignment="1">
      <alignment horizontal="right"/>
    </xf>
    <xf numFmtId="4" fontId="22" fillId="2" borderId="0" xfId="0" applyNumberFormat="1" applyFont="1" applyFill="1" applyBorder="1" applyAlignment="1">
      <alignment horizontal="center"/>
    </xf>
    <xf numFmtId="3" fontId="21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6" fontId="17" fillId="5" borderId="2" xfId="0" applyNumberFormat="1" applyFont="1" applyFill="1" applyBorder="1" applyAlignment="1">
      <alignment horizontal="left" vertical="top"/>
    </xf>
    <xf numFmtId="9" fontId="2" fillId="0" borderId="0" xfId="0" applyNumberFormat="1" applyFont="1" applyAlignment="1"/>
    <xf numFmtId="0" fontId="17" fillId="5" borderId="0" xfId="0" applyFont="1" applyFill="1" applyBorder="1" applyAlignment="1">
      <alignment horizontal="right"/>
    </xf>
    <xf numFmtId="9" fontId="15" fillId="0" borderId="0" xfId="0" applyNumberFormat="1" applyFont="1" applyAlignment="1">
      <alignment horizontal="center"/>
    </xf>
    <xf numFmtId="0" fontId="15" fillId="5" borderId="2" xfId="0" applyFont="1" applyFill="1" applyBorder="1" applyAlignment="1">
      <alignment horizontal="center" vertical="top"/>
    </xf>
    <xf numFmtId="0" fontId="17" fillId="5" borderId="2" xfId="0" applyFont="1" applyFill="1" applyBorder="1" applyAlignment="1">
      <alignment horizontal="center" vertical="top"/>
    </xf>
    <xf numFmtId="0" fontId="0" fillId="2" borderId="0" xfId="0" applyFont="1" applyFill="1" applyBorder="1" applyAlignment="1"/>
    <xf numFmtId="167" fontId="2" fillId="0" borderId="0" xfId="0" applyNumberFormat="1" applyFont="1" applyAlignment="1"/>
    <xf numFmtId="4" fontId="22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center" vertical="center" wrapText="1"/>
    </xf>
    <xf numFmtId="10" fontId="15" fillId="0" borderId="0" xfId="0" applyNumberFormat="1" applyFont="1" applyAlignment="1">
      <alignment horizontal="center"/>
    </xf>
    <xf numFmtId="0" fontId="24" fillId="5" borderId="0" xfId="0" applyFont="1" applyFill="1" applyBorder="1" applyAlignment="1">
      <alignment horizontal="center"/>
    </xf>
    <xf numFmtId="165" fontId="0" fillId="0" borderId="0" xfId="0" applyNumberFormat="1" applyFont="1" applyAlignment="1"/>
    <xf numFmtId="4" fontId="2" fillId="0" borderId="0" xfId="0" applyNumberFormat="1" applyFont="1" applyAlignment="1"/>
    <xf numFmtId="4" fontId="0" fillId="0" borderId="0" xfId="0" applyNumberFormat="1" applyFont="1" applyAlignment="1"/>
    <xf numFmtId="165" fontId="17" fillId="5" borderId="0" xfId="0" applyNumberFormat="1" applyFont="1" applyFill="1" applyBorder="1" applyAlignment="1">
      <alignment horizontal="right"/>
    </xf>
    <xf numFmtId="3" fontId="0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4" fontId="0" fillId="2" borderId="0" xfId="0" applyNumberFormat="1" applyFont="1" applyFill="1" applyBorder="1" applyAlignment="1">
      <alignment horizontal="right"/>
    </xf>
    <xf numFmtId="4" fontId="0" fillId="2" borderId="0" xfId="0" applyNumberFormat="1" applyFont="1" applyFill="1" applyAlignment="1"/>
    <xf numFmtId="10" fontId="1" fillId="0" borderId="0" xfId="0" applyNumberFormat="1" applyFont="1"/>
    <xf numFmtId="3" fontId="1" fillId="0" borderId="0" xfId="0" applyNumberFormat="1" applyFont="1"/>
    <xf numFmtId="0" fontId="25" fillId="3" borderId="0" xfId="0" applyFont="1" applyFill="1" applyBorder="1" applyAlignment="1">
      <alignment horizontal="left"/>
    </xf>
    <xf numFmtId="164" fontId="25" fillId="3" borderId="0" xfId="0" applyNumberFormat="1" applyFont="1" applyFill="1" applyBorder="1" applyAlignment="1">
      <alignment horizontal="left"/>
    </xf>
    <xf numFmtId="10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10808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831D"/>
      <rgbColor rgb="FF800080"/>
      <rgbColor rgb="FF008080"/>
      <rgbColor rgb="FFCCCCCC"/>
      <rgbColor rgb="FF808080"/>
      <rgbColor rgb="FF9999FF"/>
      <rgbColor rgb="FFDC2A4C"/>
      <rgbColor rgb="FFF0F5F8"/>
      <rgbColor rgb="FFEEEEEE"/>
      <rgbColor rgb="FF660066"/>
      <rgbColor rgb="FFFF8080"/>
      <rgbColor rgb="FF0066CC"/>
      <rgbColor rgb="FFBBD3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BE7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92D34"/>
      <rgbColor rgb="FF53A528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opLeftCell="K1" zoomScaleNormal="100" workbookViewId="0">
      <selection activeCell="H19" sqref="H19"/>
    </sheetView>
  </sheetViews>
  <sheetFormatPr defaultRowHeight="15"/>
  <cols>
    <col min="1" max="14" width="15.140625"/>
    <col min="15" max="15" width="31.42578125"/>
    <col min="16" max="29" width="15.140625"/>
    <col min="30" max="1025" width="14.42578125"/>
  </cols>
  <sheetData>
    <row r="1" spans="1:20">
      <c r="B1" s="1">
        <v>2020</v>
      </c>
      <c r="C1" s="1">
        <v>2020</v>
      </c>
    </row>
    <row r="2" spans="1:20">
      <c r="B2" t="str">
        <f ca="1">IFERROR(__xludf.dummyfunction("GoogleFinance(""TADAWUL:""&amp;B1,""eps"")"),"2.6")</f>
        <v>2.6</v>
      </c>
      <c r="C2" t="str">
        <f ca="1">IFERROR(__xludf.dummyfunction("GoogleFinance(""TADAWUL:""&amp;B1,""eps"")"),"2.6")</f>
        <v>2.6</v>
      </c>
    </row>
    <row r="5" spans="1:20">
      <c r="A5" s="2" t="s">
        <v>0</v>
      </c>
      <c r="B5" s="3" t="str">
        <f ca="1">IFERROR(__xludf.dummyfunction("GoogleFinance(""TADAWUL:""&amp;B1,""marketcap"")/1000"),"26,940,879.97")</f>
        <v>26,940,879.97</v>
      </c>
      <c r="C5" s="3" t="str">
        <f ca="1">IFERROR(__xludf.dummyfunction("GoogleFinance(""TADAWUL:""&amp;B1,""marketcap"")/1000"),"26,940,879.97")</f>
        <v>26,940,879.97</v>
      </c>
    </row>
    <row r="6" spans="1:20">
      <c r="A6" s="2" t="s">
        <v>1</v>
      </c>
      <c r="B6" s="4">
        <f ca="1">B5+(B22-B20)-N23</f>
        <v>28333934.969999999</v>
      </c>
      <c r="C6" s="4" t="e">
        <f ca="1">C5+(C22-C20)-O23</f>
        <v>#VALUE!</v>
      </c>
    </row>
    <row r="7" spans="1:20">
      <c r="A7" s="2" t="s">
        <v>2</v>
      </c>
      <c r="B7" s="5" t="str">
        <f ca="1">IFERROR(__xludf.dummyfunction("GoogleFinance(""TADAWUL:""&amp;B1,""shares"")/1000000"),"415.754301")</f>
        <v>415.754301</v>
      </c>
      <c r="C7" s="5" t="str">
        <f ca="1">IFERROR(__xludf.dummyfunction("GoogleFinance(""TADAWUL:""&amp;B1,""shares"")/1000000"),"415.754301")</f>
        <v>415.754301</v>
      </c>
      <c r="D7" s="2">
        <f ca="1">J11/C7/1000</f>
        <v>8.532118588954777</v>
      </c>
      <c r="E7" s="6">
        <f ca="1">59/D7</f>
        <v>6.9150468766782298</v>
      </c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9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9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9">
        <v>41274</v>
      </c>
    </row>
    <row r="11" spans="1:20">
      <c r="A11" s="10" t="s">
        <v>6</v>
      </c>
      <c r="B11" s="11">
        <v>1053737</v>
      </c>
      <c r="C11" s="11">
        <v>2380670</v>
      </c>
      <c r="D11" s="11">
        <v>2394570</v>
      </c>
      <c r="E11" s="11">
        <v>3025809</v>
      </c>
      <c r="F11" s="12">
        <v>4668878</v>
      </c>
      <c r="H11" s="10" t="s">
        <v>7</v>
      </c>
      <c r="I11" s="11">
        <v>2855924</v>
      </c>
      <c r="J11" s="11">
        <v>3547265</v>
      </c>
      <c r="K11" s="11">
        <v>4456130</v>
      </c>
      <c r="L11" s="11">
        <v>4240398</v>
      </c>
      <c r="M11" s="12">
        <v>4980402</v>
      </c>
      <c r="O11" s="10" t="s">
        <v>8</v>
      </c>
      <c r="P11" s="11">
        <v>1078162</v>
      </c>
      <c r="Q11" s="11">
        <v>2196429</v>
      </c>
      <c r="R11" s="11">
        <v>3254040</v>
      </c>
      <c r="S11" s="11">
        <v>3272936</v>
      </c>
      <c r="T11" s="12">
        <v>3972750</v>
      </c>
    </row>
    <row r="12" spans="1:20">
      <c r="A12" s="10" t="s">
        <v>9</v>
      </c>
      <c r="B12" s="11">
        <v>505306</v>
      </c>
      <c r="C12" s="11">
        <v>434634</v>
      </c>
      <c r="D12" s="11">
        <v>386878</v>
      </c>
      <c r="E12" s="11">
        <v>342274</v>
      </c>
      <c r="F12" s="12">
        <v>423166</v>
      </c>
      <c r="H12" s="10" t="s">
        <v>10</v>
      </c>
      <c r="I12" s="11">
        <v>1806246</v>
      </c>
      <c r="J12" s="11">
        <v>1462213</v>
      </c>
      <c r="K12" s="11">
        <v>1402205</v>
      </c>
      <c r="L12" s="11">
        <v>1361783</v>
      </c>
      <c r="M12" s="12">
        <v>1372094</v>
      </c>
      <c r="O12" s="10" t="s">
        <v>11</v>
      </c>
      <c r="P12" s="11">
        <v>447771</v>
      </c>
      <c r="Q12" s="11">
        <v>400708</v>
      </c>
      <c r="R12" s="11">
        <v>368320</v>
      </c>
      <c r="S12" s="11">
        <v>373936</v>
      </c>
      <c r="T12" s="12">
        <v>347858</v>
      </c>
    </row>
    <row r="13" spans="1:20">
      <c r="A13" s="10" t="s">
        <v>12</v>
      </c>
      <c r="B13" s="11">
        <v>1179227</v>
      </c>
      <c r="C13" s="11">
        <v>916636</v>
      </c>
      <c r="D13" s="11">
        <v>1193008</v>
      </c>
      <c r="E13" s="11">
        <v>1527699</v>
      </c>
      <c r="F13" s="12">
        <v>1262622</v>
      </c>
      <c r="H13" s="10" t="s">
        <v>13</v>
      </c>
      <c r="I13" s="11">
        <v>1049678</v>
      </c>
      <c r="J13" s="11">
        <v>2085052</v>
      </c>
      <c r="K13" s="11">
        <v>3053925</v>
      </c>
      <c r="L13" s="11">
        <v>2878615</v>
      </c>
      <c r="M13" s="12">
        <v>3608308</v>
      </c>
      <c r="O13" s="10" t="s">
        <v>14</v>
      </c>
      <c r="P13" s="11">
        <v>170336</v>
      </c>
      <c r="Q13" s="13">
        <v>-38226</v>
      </c>
      <c r="R13" s="11">
        <v>56678</v>
      </c>
      <c r="S13" s="11">
        <v>261639</v>
      </c>
      <c r="T13" s="12">
        <v>54048</v>
      </c>
    </row>
    <row r="14" spans="1:20">
      <c r="A14" s="10" t="s">
        <v>15</v>
      </c>
      <c r="B14" s="11">
        <v>5485870</v>
      </c>
      <c r="C14" s="11">
        <v>5173218</v>
      </c>
      <c r="D14" s="11">
        <v>4792451</v>
      </c>
      <c r="E14" s="11">
        <v>4320496</v>
      </c>
      <c r="F14" s="12">
        <v>3500446</v>
      </c>
      <c r="H14" s="10" t="s">
        <v>16</v>
      </c>
      <c r="I14" s="11">
        <v>97891</v>
      </c>
      <c r="J14" s="11">
        <v>182599</v>
      </c>
      <c r="K14" s="11">
        <v>297548</v>
      </c>
      <c r="L14" s="11">
        <v>475461</v>
      </c>
      <c r="M14" s="12">
        <v>451183</v>
      </c>
      <c r="O14" s="10" t="s">
        <v>9</v>
      </c>
      <c r="P14" s="13">
        <v>-67917</v>
      </c>
      <c r="Q14" s="13">
        <v>-32144</v>
      </c>
      <c r="R14" s="13">
        <v>-142967</v>
      </c>
      <c r="S14" s="13">
        <v>-85183</v>
      </c>
      <c r="T14" s="14">
        <v>-51064</v>
      </c>
    </row>
    <row r="15" spans="1:20">
      <c r="A15" s="10" t="s">
        <v>17</v>
      </c>
      <c r="B15" s="11">
        <v>149642</v>
      </c>
      <c r="C15" s="11">
        <v>107168</v>
      </c>
      <c r="D15" s="11">
        <v>157821</v>
      </c>
      <c r="E15" s="11">
        <v>243579</v>
      </c>
      <c r="F15" s="12">
        <v>177230</v>
      </c>
      <c r="H15" s="10" t="s">
        <v>18</v>
      </c>
      <c r="I15" s="11">
        <v>1147569</v>
      </c>
      <c r="J15" s="11">
        <v>2267651</v>
      </c>
      <c r="K15" s="11">
        <v>3351473</v>
      </c>
      <c r="L15" s="11">
        <v>3354076</v>
      </c>
      <c r="M15" s="12">
        <v>4059491</v>
      </c>
      <c r="O15" s="10" t="s">
        <v>19</v>
      </c>
      <c r="P15" s="11">
        <v>16274</v>
      </c>
      <c r="Q15" s="15"/>
      <c r="R15" s="11">
        <v>89516</v>
      </c>
      <c r="S15" s="13">
        <v>-94768</v>
      </c>
      <c r="T15" s="14">
        <v>-52963</v>
      </c>
    </row>
    <row r="16" spans="1:20">
      <c r="A16" s="10" t="s">
        <v>20</v>
      </c>
      <c r="B16" s="11">
        <v>8373782</v>
      </c>
      <c r="C16" s="11">
        <v>9012326</v>
      </c>
      <c r="D16" s="11">
        <v>8924728</v>
      </c>
      <c r="E16" s="11">
        <v>9459857</v>
      </c>
      <c r="F16" s="12">
        <v>10032342</v>
      </c>
      <c r="H16" s="10" t="s">
        <v>21</v>
      </c>
      <c r="I16" s="11">
        <v>69407</v>
      </c>
      <c r="J16" s="11">
        <v>71222</v>
      </c>
      <c r="K16" s="11">
        <v>97433</v>
      </c>
      <c r="L16" s="11">
        <v>81140</v>
      </c>
      <c r="M16" s="12">
        <v>86741</v>
      </c>
      <c r="O16" s="10" t="s">
        <v>22</v>
      </c>
      <c r="P16" s="11">
        <v>63211</v>
      </c>
      <c r="Q16" s="11">
        <v>317088</v>
      </c>
      <c r="R16" s="13">
        <v>-152092</v>
      </c>
      <c r="S16" s="16">
        <v>272</v>
      </c>
      <c r="T16" s="12">
        <v>152972</v>
      </c>
    </row>
    <row r="17" spans="1:29">
      <c r="A17" s="10" t="s">
        <v>23</v>
      </c>
      <c r="B17" s="11">
        <v>846884</v>
      </c>
      <c r="C17" s="11">
        <v>820185</v>
      </c>
      <c r="D17" s="11">
        <v>510244</v>
      </c>
      <c r="E17" s="11">
        <v>687603</v>
      </c>
      <c r="F17" s="12">
        <v>693484</v>
      </c>
      <c r="H17" s="10" t="s">
        <v>11</v>
      </c>
      <c r="I17" s="15"/>
      <c r="J17" s="15"/>
      <c r="K17" s="15"/>
      <c r="L17" s="15"/>
      <c r="M17" s="17">
        <v>0</v>
      </c>
      <c r="O17" s="10" t="s">
        <v>24</v>
      </c>
      <c r="P17" s="13">
        <v>-149604</v>
      </c>
      <c r="Q17" s="13">
        <v>-148083</v>
      </c>
      <c r="R17" s="13">
        <v>-296502</v>
      </c>
      <c r="S17" s="13">
        <v>-451037</v>
      </c>
      <c r="T17" s="14">
        <v>-452618</v>
      </c>
    </row>
    <row r="18" spans="1:29">
      <c r="A18" s="10" t="s">
        <v>25</v>
      </c>
      <c r="B18" s="11">
        <v>546171</v>
      </c>
      <c r="C18" s="11">
        <v>595956</v>
      </c>
      <c r="D18" s="11">
        <v>552788</v>
      </c>
      <c r="E18" s="11">
        <v>503468</v>
      </c>
      <c r="F18" s="17">
        <v>0</v>
      </c>
      <c r="H18" s="10" t="s">
        <v>26</v>
      </c>
      <c r="I18" s="15"/>
      <c r="J18" s="15"/>
      <c r="K18" s="15"/>
      <c r="L18" s="15"/>
      <c r="M18" s="17">
        <v>0</v>
      </c>
      <c r="O18" s="10" t="s">
        <v>27</v>
      </c>
      <c r="P18" s="13">
        <v>-845237</v>
      </c>
      <c r="Q18" s="13">
        <v>-778512</v>
      </c>
      <c r="R18" s="13">
        <v>-667639</v>
      </c>
      <c r="S18" s="13">
        <v>-925120</v>
      </c>
      <c r="T18" s="14">
        <v>-573236</v>
      </c>
    </row>
    <row r="19" spans="1:29">
      <c r="A19" s="10" t="s">
        <v>28</v>
      </c>
      <c r="B19" s="15"/>
      <c r="C19" s="15"/>
      <c r="D19" s="15"/>
      <c r="E19" s="15"/>
      <c r="F19" s="12">
        <v>481572</v>
      </c>
      <c r="H19" s="10" t="s">
        <v>29</v>
      </c>
      <c r="I19" s="11">
        <v>69407</v>
      </c>
      <c r="J19" s="11">
        <v>71222</v>
      </c>
      <c r="K19" s="11">
        <v>97433</v>
      </c>
      <c r="L19" s="11">
        <v>81140</v>
      </c>
      <c r="M19" s="12">
        <v>86741</v>
      </c>
      <c r="O19" s="10" t="s">
        <v>30</v>
      </c>
      <c r="P19" s="11">
        <v>26933</v>
      </c>
      <c r="Q19" s="11">
        <v>144218</v>
      </c>
      <c r="R19" s="11">
        <v>304412</v>
      </c>
      <c r="S19" s="11">
        <v>208009</v>
      </c>
      <c r="T19" s="12">
        <v>286628</v>
      </c>
    </row>
    <row r="20" spans="1:29">
      <c r="A20" s="10" t="s">
        <v>31</v>
      </c>
      <c r="B20" s="11">
        <v>6980727</v>
      </c>
      <c r="C20" s="11">
        <v>7596185</v>
      </c>
      <c r="D20" s="11">
        <v>7861696</v>
      </c>
      <c r="E20" s="11">
        <v>8268786</v>
      </c>
      <c r="F20" s="12">
        <v>8857286</v>
      </c>
      <c r="H20" s="10" t="s">
        <v>32</v>
      </c>
      <c r="I20" s="11">
        <v>1078162</v>
      </c>
      <c r="J20" s="11">
        <v>2196429</v>
      </c>
      <c r="K20" s="11">
        <v>3254040</v>
      </c>
      <c r="L20" s="11">
        <v>3272936</v>
      </c>
      <c r="M20" s="12">
        <v>3972750</v>
      </c>
      <c r="O20" s="10" t="s">
        <v>33</v>
      </c>
      <c r="P20" s="15"/>
      <c r="Q20" s="15"/>
      <c r="R20" s="15"/>
      <c r="S20" s="15"/>
      <c r="T20" s="17">
        <v>0</v>
      </c>
    </row>
    <row r="21" spans="1:29">
      <c r="A21" s="10" t="s">
        <v>34</v>
      </c>
      <c r="B21" s="15"/>
      <c r="C21" s="15"/>
      <c r="D21" s="15"/>
      <c r="E21" s="15"/>
      <c r="F21" s="17"/>
      <c r="H21" s="10" t="s">
        <v>35</v>
      </c>
      <c r="I21" s="11">
        <v>22500</v>
      </c>
      <c r="J21" s="11">
        <v>66000</v>
      </c>
      <c r="K21" s="11">
        <v>80000</v>
      </c>
      <c r="L21" s="11">
        <v>112459</v>
      </c>
      <c r="M21" s="12">
        <v>106535</v>
      </c>
      <c r="O21" s="10" t="s">
        <v>36</v>
      </c>
      <c r="P21" s="13">
        <v>-1883213</v>
      </c>
      <c r="Q21" s="13">
        <v>-2241533</v>
      </c>
      <c r="R21" s="13">
        <v>-3313340</v>
      </c>
      <c r="S21" s="13">
        <v>-4015041</v>
      </c>
      <c r="T21" s="14">
        <v>-3370000</v>
      </c>
    </row>
    <row r="22" spans="1:29">
      <c r="A22" s="10" t="s">
        <v>37</v>
      </c>
      <c r="B22" s="11">
        <v>8373782</v>
      </c>
      <c r="C22" s="11">
        <v>9012326</v>
      </c>
      <c r="D22" s="11">
        <v>8924728</v>
      </c>
      <c r="E22" s="11">
        <v>9459857</v>
      </c>
      <c r="F22" s="12">
        <v>10032342</v>
      </c>
      <c r="H22" s="10" t="s">
        <v>8</v>
      </c>
      <c r="I22" s="11">
        <v>1055662</v>
      </c>
      <c r="J22" s="11">
        <v>2130429</v>
      </c>
      <c r="K22" s="11">
        <v>3174040</v>
      </c>
      <c r="L22" s="11">
        <v>3160477</v>
      </c>
      <c r="M22" s="12">
        <v>3866215</v>
      </c>
      <c r="O22" s="10" t="s">
        <v>38</v>
      </c>
      <c r="P22" s="11">
        <v>1460039</v>
      </c>
      <c r="Q22" s="11">
        <v>1640094</v>
      </c>
      <c r="R22" s="11">
        <v>2139668</v>
      </c>
      <c r="S22" s="11">
        <v>3594025</v>
      </c>
      <c r="T22" s="12">
        <v>3279650</v>
      </c>
    </row>
    <row r="23" spans="1:29">
      <c r="H23" s="10" t="s">
        <v>39</v>
      </c>
      <c r="I23" s="18"/>
      <c r="J23" s="11">
        <v>2459369</v>
      </c>
      <c r="K23" s="11">
        <v>618662</v>
      </c>
      <c r="L23" s="11">
        <v>1458185</v>
      </c>
      <c r="M23" s="12">
        <v>2341970</v>
      </c>
      <c r="O23" s="10" t="s">
        <v>40</v>
      </c>
      <c r="P23" s="11">
        <v>316755</v>
      </c>
      <c r="Q23" s="11">
        <v>1460039</v>
      </c>
      <c r="R23" s="11">
        <v>1640094</v>
      </c>
      <c r="S23" s="11">
        <v>2139668</v>
      </c>
      <c r="T23" s="12">
        <v>3594025</v>
      </c>
    </row>
    <row r="24" spans="1:29">
      <c r="H24" s="10" t="s">
        <v>41</v>
      </c>
      <c r="I24" s="18"/>
      <c r="J24" s="11">
        <v>213043</v>
      </c>
      <c r="K24" s="15"/>
      <c r="L24" s="15"/>
      <c r="M24" s="12">
        <v>416667</v>
      </c>
      <c r="O24" s="2" t="s">
        <v>42</v>
      </c>
      <c r="P24" s="12">
        <f>SUM(P11:P17)</f>
        <v>1558233</v>
      </c>
      <c r="Q24" s="12">
        <f>SUM(Q11:Q17)</f>
        <v>2695772</v>
      </c>
      <c r="R24" s="12">
        <f>SUM(R11:R17)</f>
        <v>3176993</v>
      </c>
      <c r="S24" s="12">
        <f>SUM(S11:S17)</f>
        <v>3277795</v>
      </c>
      <c r="T24" s="12">
        <f>SUM(T11:T17)</f>
        <v>3970983</v>
      </c>
    </row>
    <row r="25" spans="1:29">
      <c r="H25" s="10" t="s">
        <v>43</v>
      </c>
      <c r="I25" s="18"/>
      <c r="J25" s="11">
        <v>1250000</v>
      </c>
      <c r="K25" s="15"/>
      <c r="L25" s="11">
        <v>2000000</v>
      </c>
      <c r="M25" s="12">
        <v>2000000</v>
      </c>
      <c r="O25" s="2" t="s">
        <v>44</v>
      </c>
      <c r="P25" s="12">
        <f>P18+P19</f>
        <v>-818304</v>
      </c>
      <c r="Q25" s="12">
        <f>Q18+Q19</f>
        <v>-634294</v>
      </c>
      <c r="R25" s="12">
        <f>R18+R19</f>
        <v>-363227</v>
      </c>
      <c r="S25" s="12">
        <f>S18+S19</f>
        <v>-717111</v>
      </c>
      <c r="T25" s="12">
        <f>T18+T19</f>
        <v>-286608</v>
      </c>
    </row>
    <row r="26" spans="1:29">
      <c r="H26" s="10" t="s">
        <v>45</v>
      </c>
      <c r="I26" s="18"/>
      <c r="J26" s="11">
        <v>2250000</v>
      </c>
      <c r="K26" s="11">
        <v>1333333</v>
      </c>
      <c r="L26" s="11">
        <v>2000000</v>
      </c>
      <c r="M26" s="12">
        <v>2333333</v>
      </c>
      <c r="O26" s="2" t="s">
        <v>46</v>
      </c>
      <c r="P26" s="12">
        <f>P20+P21</f>
        <v>-1883213</v>
      </c>
      <c r="Q26" s="12">
        <f>Q20+Q21</f>
        <v>-2241533</v>
      </c>
      <c r="R26" s="12">
        <f>R20+R21</f>
        <v>-3313340</v>
      </c>
      <c r="S26" s="12">
        <f>S20+S21</f>
        <v>-4015041</v>
      </c>
      <c r="T26" s="12">
        <f>T20+T21</f>
        <v>-3370000</v>
      </c>
    </row>
    <row r="27" spans="1:29">
      <c r="H27" s="10" t="s">
        <v>47</v>
      </c>
      <c r="I27" s="18"/>
      <c r="J27" s="11">
        <v>42021</v>
      </c>
      <c r="K27" s="11">
        <v>2459369</v>
      </c>
      <c r="L27" s="11">
        <v>618662</v>
      </c>
      <c r="M27" s="12">
        <v>1458185</v>
      </c>
      <c r="O27" s="2" t="s">
        <v>48</v>
      </c>
      <c r="P27" s="12">
        <f>P24+P25+P26</f>
        <v>-1143284</v>
      </c>
      <c r="Q27" s="12">
        <f>Q24+Q25+Q26</f>
        <v>-180055</v>
      </c>
      <c r="R27" s="12">
        <f>R24+R25+R26</f>
        <v>-499574</v>
      </c>
      <c r="S27" s="12">
        <f>S24+S25+S26</f>
        <v>-1454357</v>
      </c>
      <c r="T27" s="12">
        <f>T24+T25+T26</f>
        <v>314375</v>
      </c>
    </row>
    <row r="28" spans="1:29">
      <c r="O28" s="2"/>
      <c r="P28" s="19"/>
      <c r="Q28" s="12"/>
      <c r="R28" s="12"/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/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0.12583764420903243</v>
      </c>
      <c r="C30" s="24">
        <f t="shared" si="0"/>
        <v>0.26415711104991096</v>
      </c>
      <c r="D30" s="24">
        <f t="shared" si="0"/>
        <v>0.26830733664936346</v>
      </c>
      <c r="E30" s="24">
        <f t="shared" si="0"/>
        <v>0.31985779489055699</v>
      </c>
      <c r="F30" s="24">
        <f t="shared" si="0"/>
        <v>0.46538265940295898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0.37751774907175401</v>
      </c>
      <c r="Q30" s="26">
        <f t="shared" ref="Q30:Q42" si="3">Q11/J$11</f>
        <v>0.6191894318580653</v>
      </c>
      <c r="R30" s="26">
        <f t="shared" ref="R30:R42" si="4">R11/K$11</f>
        <v>0.73023901905913879</v>
      </c>
      <c r="S30" s="26">
        <f t="shared" ref="S30:S42" si="5">S11/L$11</f>
        <v>0.77184641630337525</v>
      </c>
      <c r="T30" s="26">
        <f t="shared" ref="T30:T42" si="6">T11/M$11</f>
        <v>0.79767657309590667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6.0343820749095209E-2</v>
      </c>
      <c r="C31" s="24">
        <f t="shared" si="0"/>
        <v>4.8226617634559599E-2</v>
      </c>
      <c r="D31" s="24">
        <f t="shared" si="0"/>
        <v>4.3348996182292612E-2</v>
      </c>
      <c r="E31" s="24">
        <f t="shared" si="0"/>
        <v>3.6181730865487712E-2</v>
      </c>
      <c r="F31" s="24">
        <f t="shared" si="0"/>
        <v>4.2180180859065608E-2</v>
      </c>
      <c r="G31" s="6"/>
      <c r="H31" s="25" t="s">
        <v>10</v>
      </c>
      <c r="I31" s="24">
        <f t="shared" si="1"/>
        <v>0.63245590568936705</v>
      </c>
      <c r="J31" s="24">
        <f t="shared" si="1"/>
        <v>0.41220856067984774</v>
      </c>
      <c r="K31" s="24">
        <f t="shared" si="1"/>
        <v>0.31466878210465132</v>
      </c>
      <c r="L31" s="24">
        <f t="shared" si="1"/>
        <v>0.32114509062592711</v>
      </c>
      <c r="M31" s="24">
        <f t="shared" si="1"/>
        <v>0.27549864448693095</v>
      </c>
      <c r="N31" s="6"/>
      <c r="O31" s="25" t="s">
        <v>11</v>
      </c>
      <c r="P31" s="26">
        <f t="shared" si="2"/>
        <v>0.15678673522124539</v>
      </c>
      <c r="Q31" s="26">
        <f t="shared" si="3"/>
        <v>0.11296252183019875</v>
      </c>
      <c r="R31" s="26">
        <f t="shared" si="4"/>
        <v>8.2654680182131138E-2</v>
      </c>
      <c r="S31" s="26">
        <f t="shared" si="5"/>
        <v>8.8184175164689724E-2</v>
      </c>
      <c r="T31" s="26">
        <f t="shared" si="6"/>
        <v>6.984536589616662E-2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0.14082370427125998</v>
      </c>
      <c r="C32" s="24">
        <f t="shared" si="0"/>
        <v>0.10170914811559191</v>
      </c>
      <c r="D32" s="24">
        <f t="shared" si="0"/>
        <v>0.13367443803329357</v>
      </c>
      <c r="E32" s="24">
        <f t="shared" si="0"/>
        <v>0.16149282172024376</v>
      </c>
      <c r="F32" s="24">
        <f t="shared" si="0"/>
        <v>0.12585515924397314</v>
      </c>
      <c r="G32" s="6"/>
      <c r="H32" s="25" t="s">
        <v>13</v>
      </c>
      <c r="I32" s="24">
        <f t="shared" si="1"/>
        <v>0.3675440943106329</v>
      </c>
      <c r="J32" s="24">
        <f t="shared" si="1"/>
        <v>0.58779143932015232</v>
      </c>
      <c r="K32" s="24">
        <f t="shared" si="1"/>
        <v>0.68533121789534868</v>
      </c>
      <c r="L32" s="24">
        <f t="shared" si="1"/>
        <v>0.67885490937407289</v>
      </c>
      <c r="M32" s="24">
        <f t="shared" si="1"/>
        <v>0.72450135551306905</v>
      </c>
      <c r="N32" s="6"/>
      <c r="O32" s="25" t="s">
        <v>14</v>
      </c>
      <c r="P32" s="26">
        <f t="shared" si="2"/>
        <v>5.9643043722452001E-2</v>
      </c>
      <c r="Q32" s="26">
        <f t="shared" si="3"/>
        <v>-1.077618954321146E-2</v>
      </c>
      <c r="R32" s="26">
        <f t="shared" si="4"/>
        <v>1.2719108284542867E-2</v>
      </c>
      <c r="S32" s="26">
        <f t="shared" si="5"/>
        <v>6.1701519527176459E-2</v>
      </c>
      <c r="T32" s="26">
        <f t="shared" si="6"/>
        <v>1.0852136032392566E-2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0.65512453034960783</v>
      </c>
      <c r="C33" s="24">
        <f t="shared" si="0"/>
        <v>0.57401585339900041</v>
      </c>
      <c r="D33" s="24">
        <f t="shared" si="0"/>
        <v>0.53698566499729738</v>
      </c>
      <c r="E33" s="24">
        <f t="shared" si="0"/>
        <v>0.45671895463113238</v>
      </c>
      <c r="F33" s="24">
        <f t="shared" si="0"/>
        <v>0.34891613543477684</v>
      </c>
      <c r="G33" s="6"/>
      <c r="H33" s="25" t="s">
        <v>16</v>
      </c>
      <c r="I33" s="24">
        <f t="shared" si="1"/>
        <v>3.427647234310157E-2</v>
      </c>
      <c r="J33" s="24">
        <f t="shared" si="1"/>
        <v>5.1475996295737701E-2</v>
      </c>
      <c r="K33" s="24">
        <f t="shared" si="1"/>
        <v>6.6772737779194055E-2</v>
      </c>
      <c r="L33" s="24">
        <f t="shared" si="1"/>
        <v>0.11212650321974493</v>
      </c>
      <c r="M33" s="24">
        <f t="shared" si="1"/>
        <v>9.0591683161319103E-2</v>
      </c>
      <c r="N33" s="6"/>
      <c r="O33" s="25" t="s">
        <v>9</v>
      </c>
      <c r="P33" s="26">
        <f t="shared" si="2"/>
        <v>-2.3781095015133456E-2</v>
      </c>
      <c r="Q33" s="26">
        <f t="shared" si="3"/>
        <v>-9.0616291706427342E-3</v>
      </c>
      <c r="R33" s="26">
        <f t="shared" si="4"/>
        <v>-3.2083220193306748E-2</v>
      </c>
      <c r="S33" s="26">
        <f t="shared" si="5"/>
        <v>-2.0088444528084393E-2</v>
      </c>
      <c r="T33" s="26">
        <f t="shared" si="6"/>
        <v>-1.0252987610237085E-2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>
        <f t="shared" si="0"/>
        <v>1.7870300421004511E-2</v>
      </c>
      <c r="C34" s="24">
        <f t="shared" si="0"/>
        <v>1.1891269800937071E-2</v>
      </c>
      <c r="D34" s="24">
        <f t="shared" si="0"/>
        <v>1.7683564137752995E-2</v>
      </c>
      <c r="E34" s="24">
        <f t="shared" si="0"/>
        <v>2.5748697892579137E-2</v>
      </c>
      <c r="F34" s="24">
        <f t="shared" si="0"/>
        <v>1.7665865059225454E-2</v>
      </c>
      <c r="G34" s="6"/>
      <c r="H34" s="25" t="s">
        <v>18</v>
      </c>
      <c r="I34" s="24">
        <f t="shared" si="1"/>
        <v>0.4018205666537345</v>
      </c>
      <c r="J34" s="24">
        <f t="shared" si="1"/>
        <v>0.63926743561588995</v>
      </c>
      <c r="K34" s="24">
        <f t="shared" si="1"/>
        <v>0.75210395567454269</v>
      </c>
      <c r="L34" s="24">
        <f t="shared" si="1"/>
        <v>0.79098141259381782</v>
      </c>
      <c r="M34" s="24">
        <f t="shared" si="1"/>
        <v>0.81509303867438809</v>
      </c>
      <c r="N34" s="6"/>
      <c r="O34" s="25" t="s">
        <v>19</v>
      </c>
      <c r="P34" s="26">
        <f t="shared" si="2"/>
        <v>5.698330907965338E-3</v>
      </c>
      <c r="Q34" s="26">
        <f t="shared" si="3"/>
        <v>0</v>
      </c>
      <c r="R34" s="26">
        <f t="shared" si="4"/>
        <v>2.0088282882231891E-2</v>
      </c>
      <c r="S34" s="26">
        <f t="shared" si="5"/>
        <v>-2.2348845556478425E-2</v>
      </c>
      <c r="T34" s="26">
        <f t="shared" si="6"/>
        <v>-1.063428213224555E-2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2.4302817581980472E-2</v>
      </c>
      <c r="J35" s="24">
        <f t="shared" si="1"/>
        <v>2.0078003757824689E-2</v>
      </c>
      <c r="K35" s="24">
        <f t="shared" si="1"/>
        <v>2.1864936615403948E-2</v>
      </c>
      <c r="L35" s="24">
        <f t="shared" si="1"/>
        <v>1.9134996290442546E-2</v>
      </c>
      <c r="M35" s="24">
        <f t="shared" si="1"/>
        <v>1.7416465578481415E-2</v>
      </c>
      <c r="N35" s="6"/>
      <c r="O35" s="25" t="s">
        <v>22</v>
      </c>
      <c r="P35" s="26">
        <f t="shared" si="2"/>
        <v>2.2133292062393818E-2</v>
      </c>
      <c r="Q35" s="26">
        <f t="shared" si="3"/>
        <v>8.9389431012343312E-2</v>
      </c>
      <c r="R35" s="26">
        <f t="shared" si="4"/>
        <v>-3.4130961170342873E-2</v>
      </c>
      <c r="S35" s="26">
        <f t="shared" si="5"/>
        <v>6.4144922245506201E-5</v>
      </c>
      <c r="T35" s="26">
        <f t="shared" si="6"/>
        <v>3.0714789689667621E-2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0.10113518598883993</v>
      </c>
      <c r="C36" s="24">
        <f t="shared" si="0"/>
        <v>9.1007027486577824E-2</v>
      </c>
      <c r="D36" s="24">
        <f t="shared" si="0"/>
        <v>5.7171938461317816E-2</v>
      </c>
      <c r="E36" s="24">
        <f t="shared" si="0"/>
        <v>7.2686405301898321E-2</v>
      </c>
      <c r="F36" s="24">
        <f t="shared" si="0"/>
        <v>6.9124836453940672E-2</v>
      </c>
      <c r="G36" s="6"/>
      <c r="H36" s="25" t="s">
        <v>11</v>
      </c>
      <c r="I36" s="24">
        <f t="shared" si="1"/>
        <v>0</v>
      </c>
      <c r="J36" s="24">
        <f t="shared" si="1"/>
        <v>0</v>
      </c>
      <c r="K36" s="24">
        <f t="shared" si="1"/>
        <v>0</v>
      </c>
      <c r="L36" s="24">
        <f t="shared" si="1"/>
        <v>0</v>
      </c>
      <c r="M36" s="24">
        <f t="shared" si="1"/>
        <v>0</v>
      </c>
      <c r="N36" s="6"/>
      <c r="O36" s="25" t="s">
        <v>24</v>
      </c>
      <c r="P36" s="26">
        <f t="shared" si="2"/>
        <v>-5.238374690643028E-2</v>
      </c>
      <c r="Q36" s="26">
        <f t="shared" si="3"/>
        <v>-4.1745682941646593E-2</v>
      </c>
      <c r="R36" s="26">
        <f t="shared" si="4"/>
        <v>-6.6538004950483939E-2</v>
      </c>
      <c r="S36" s="26">
        <f t="shared" si="5"/>
        <v>-0.10636666652517052</v>
      </c>
      <c r="T36" s="26">
        <f t="shared" si="6"/>
        <v>-9.0879812513126448E-2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6.522393346280092E-2</v>
      </c>
      <c r="C37" s="24">
        <f t="shared" si="0"/>
        <v>6.6126769049410769E-2</v>
      </c>
      <c r="D37" s="24">
        <f t="shared" si="0"/>
        <v>6.1938918474602249E-2</v>
      </c>
      <c r="E37" s="24">
        <f t="shared" si="0"/>
        <v>5.322152332746679E-2</v>
      </c>
      <c r="F37" s="24">
        <f t="shared" si="0"/>
        <v>0</v>
      </c>
      <c r="G37" s="6"/>
      <c r="H37" s="25" t="s">
        <v>26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6"/>
      <c r="O37" s="25" t="s">
        <v>27</v>
      </c>
      <c r="P37" s="26">
        <f t="shared" si="2"/>
        <v>-0.29595920619736382</v>
      </c>
      <c r="Q37" s="26">
        <f t="shared" si="3"/>
        <v>-0.21946823820605452</v>
      </c>
      <c r="R37" s="26">
        <f t="shared" si="4"/>
        <v>-0.14982484801834775</v>
      </c>
      <c r="S37" s="26">
        <f t="shared" si="5"/>
        <v>-0.21816820024912756</v>
      </c>
      <c r="T37" s="26">
        <f t="shared" si="6"/>
        <v>-0.11509833945131337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24">
        <f t="shared" si="0"/>
        <v>4.800195208656164E-2</v>
      </c>
      <c r="G38" s="6"/>
      <c r="H38" s="25" t="s">
        <v>29</v>
      </c>
      <c r="I38" s="24">
        <f t="shared" si="1"/>
        <v>2.4302817581980472E-2</v>
      </c>
      <c r="J38" s="24">
        <f t="shared" si="1"/>
        <v>2.0078003757824689E-2</v>
      </c>
      <c r="K38" s="24">
        <f t="shared" si="1"/>
        <v>2.1864936615403948E-2</v>
      </c>
      <c r="L38" s="24">
        <f t="shared" si="1"/>
        <v>1.9134996290442546E-2</v>
      </c>
      <c r="M38" s="24">
        <f t="shared" si="1"/>
        <v>1.7416465578481415E-2</v>
      </c>
      <c r="N38" s="6"/>
      <c r="O38" s="25" t="s">
        <v>30</v>
      </c>
      <c r="P38" s="26">
        <f t="shared" si="2"/>
        <v>9.4305730824769847E-3</v>
      </c>
      <c r="Q38" s="26">
        <f t="shared" si="3"/>
        <v>4.065611111659264E-2</v>
      </c>
      <c r="R38" s="26">
        <f t="shared" si="4"/>
        <v>6.83130878138654E-2</v>
      </c>
      <c r="S38" s="26">
        <f t="shared" si="5"/>
        <v>4.9054121806490804E-2</v>
      </c>
      <c r="T38" s="26">
        <f t="shared" si="6"/>
        <v>5.755117759570412E-2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0.83364088054835916</v>
      </c>
      <c r="C39" s="24">
        <f t="shared" si="0"/>
        <v>0.84286620346401142</v>
      </c>
      <c r="D39" s="24">
        <f t="shared" si="0"/>
        <v>0.88088914306407995</v>
      </c>
      <c r="E39" s="24">
        <f t="shared" si="0"/>
        <v>0.87409207137063494</v>
      </c>
      <c r="F39" s="24">
        <f t="shared" si="0"/>
        <v>0.88287321145949771</v>
      </c>
      <c r="G39" s="6"/>
      <c r="H39" s="25" t="s">
        <v>32</v>
      </c>
      <c r="I39" s="24">
        <f t="shared" si="1"/>
        <v>0.37751774907175401</v>
      </c>
      <c r="J39" s="24">
        <f t="shared" si="1"/>
        <v>0.6191894318580653</v>
      </c>
      <c r="K39" s="24">
        <f t="shared" si="1"/>
        <v>0.73023901905913879</v>
      </c>
      <c r="L39" s="24">
        <f t="shared" si="1"/>
        <v>0.77184641630337525</v>
      </c>
      <c r="M39" s="24">
        <f t="shared" si="1"/>
        <v>0.79767657309590667</v>
      </c>
      <c r="N39" s="6"/>
      <c r="O39" s="25" t="s">
        <v>33</v>
      </c>
      <c r="P39" s="26">
        <f t="shared" si="2"/>
        <v>0</v>
      </c>
      <c r="Q39" s="26">
        <f t="shared" si="3"/>
        <v>0</v>
      </c>
      <c r="R39" s="26">
        <f t="shared" si="4"/>
        <v>0</v>
      </c>
      <c r="S39" s="26">
        <f t="shared" si="5"/>
        <v>0</v>
      </c>
      <c r="T39" s="26">
        <f t="shared" si="6"/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24">
        <f t="shared" si="0"/>
        <v>0</v>
      </c>
      <c r="G40" s="6"/>
      <c r="H40" s="25" t="s">
        <v>35</v>
      </c>
      <c r="I40" s="24">
        <f t="shared" ref="I40:M49" si="7">I21/I$11</f>
        <v>7.8783609087636781E-3</v>
      </c>
      <c r="J40" s="24">
        <f t="shared" si="7"/>
        <v>1.860588368785529E-2</v>
      </c>
      <c r="K40" s="24">
        <f t="shared" si="7"/>
        <v>1.7952797606892078E-2</v>
      </c>
      <c r="L40" s="24">
        <f t="shared" si="7"/>
        <v>2.6520859598556549E-2</v>
      </c>
      <c r="M40" s="24">
        <f t="shared" si="7"/>
        <v>2.1390843550380071E-2</v>
      </c>
      <c r="N40" s="6"/>
      <c r="O40" s="25" t="s">
        <v>36</v>
      </c>
      <c r="P40" s="26">
        <f t="shared" si="2"/>
        <v>-0.65940585253669215</v>
      </c>
      <c r="Q40" s="26">
        <f t="shared" si="3"/>
        <v>-0.63190458000741412</v>
      </c>
      <c r="R40" s="26">
        <f t="shared" si="4"/>
        <v>-0.74354653028524753</v>
      </c>
      <c r="S40" s="26">
        <f t="shared" si="5"/>
        <v>-0.94685475278499798</v>
      </c>
      <c r="T40" s="26">
        <f t="shared" si="6"/>
        <v>-0.67665220598658504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0.36963938816299036</v>
      </c>
      <c r="J41" s="24">
        <f t="shared" si="7"/>
        <v>0.60058354817020998</v>
      </c>
      <c r="K41" s="24">
        <f t="shared" si="7"/>
        <v>0.71228622145224663</v>
      </c>
      <c r="L41" s="24">
        <f t="shared" si="7"/>
        <v>0.7453255567048187</v>
      </c>
      <c r="M41" s="24">
        <f t="shared" si="7"/>
        <v>0.77628572954552666</v>
      </c>
      <c r="N41" s="6"/>
      <c r="O41" s="25" t="s">
        <v>38</v>
      </c>
      <c r="P41" s="26">
        <f t="shared" si="2"/>
        <v>0.51123174146090722</v>
      </c>
      <c r="Q41" s="26">
        <f t="shared" si="3"/>
        <v>0.46235451819923234</v>
      </c>
      <c r="R41" s="26">
        <f t="shared" si="4"/>
        <v>0.48016283187429454</v>
      </c>
      <c r="S41" s="26">
        <f t="shared" si="5"/>
        <v>0.84756784622575521</v>
      </c>
      <c r="T41" s="26">
        <f t="shared" si="6"/>
        <v>0.6585111001079833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</v>
      </c>
      <c r="J42" s="24">
        <f t="shared" si="7"/>
        <v>0.69331414484116638</v>
      </c>
      <c r="K42" s="24">
        <f t="shared" si="7"/>
        <v>0.13883392091343835</v>
      </c>
      <c r="L42" s="24">
        <f t="shared" si="7"/>
        <v>0.34387927736971857</v>
      </c>
      <c r="M42" s="24">
        <f t="shared" si="7"/>
        <v>0.47023714149982271</v>
      </c>
      <c r="N42" s="6"/>
      <c r="O42" s="25" t="s">
        <v>40</v>
      </c>
      <c r="P42" s="26">
        <f t="shared" si="2"/>
        <v>0.11091156487357506</v>
      </c>
      <c r="Q42" s="26">
        <f t="shared" si="3"/>
        <v>0.41159569414746289</v>
      </c>
      <c r="R42" s="26">
        <f t="shared" si="4"/>
        <v>0.36805344547847574</v>
      </c>
      <c r="S42" s="26">
        <f t="shared" si="5"/>
        <v>0.50459131430587412</v>
      </c>
      <c r="T42" s="26">
        <f t="shared" si="6"/>
        <v>0.72163351472431347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0</v>
      </c>
      <c r="J43" s="24">
        <f t="shared" si="7"/>
        <v>6.005838300775386E-2</v>
      </c>
      <c r="K43" s="24">
        <f t="shared" si="7"/>
        <v>0</v>
      </c>
      <c r="L43" s="24">
        <f t="shared" si="7"/>
        <v>0</v>
      </c>
      <c r="M43" s="24">
        <f t="shared" si="7"/>
        <v>8.3661318905582316E-2</v>
      </c>
      <c r="N43" s="6"/>
      <c r="O43" s="2" t="s">
        <v>49</v>
      </c>
      <c r="P43" s="26">
        <f>P24/I11</f>
        <v>0.54561430906424679</v>
      </c>
      <c r="Q43" s="26">
        <f>Q24/J11</f>
        <v>0.75995788304510659</v>
      </c>
      <c r="R43" s="26">
        <f>R24/K11</f>
        <v>0.7129489040939111</v>
      </c>
      <c r="S43" s="26">
        <f>S24/L11</f>
        <v>0.77299229930775371</v>
      </c>
      <c r="T43" s="26">
        <f>T24/M11</f>
        <v>0.79732178245852448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0</v>
      </c>
      <c r="J44" s="24">
        <f t="shared" si="7"/>
        <v>0.35238416075483509</v>
      </c>
      <c r="K44" s="24">
        <f t="shared" si="7"/>
        <v>0</v>
      </c>
      <c r="L44" s="24">
        <f t="shared" si="7"/>
        <v>0.47165384004048677</v>
      </c>
      <c r="M44" s="24">
        <f t="shared" si="7"/>
        <v>0.40157400948758754</v>
      </c>
      <c r="N44" s="6"/>
      <c r="O44" s="2" t="s">
        <v>50</v>
      </c>
      <c r="P44" s="26">
        <f>P24/B16</f>
        <v>0.18608473447242835</v>
      </c>
      <c r="Q44" s="26">
        <f>Q24/C16</f>
        <v>0.29912055999749676</v>
      </c>
      <c r="R44" s="26">
        <f>R24/D16</f>
        <v>0.35597645104702352</v>
      </c>
      <c r="S44" s="26">
        <f>S24/E16</f>
        <v>0.34649519543477242</v>
      </c>
      <c r="T44" s="26">
        <f>T24/F16</f>
        <v>0.39581814495558465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0</v>
      </c>
      <c r="J45" s="24">
        <f t="shared" si="7"/>
        <v>0.63429148935870316</v>
      </c>
      <c r="K45" s="24">
        <f t="shared" si="7"/>
        <v>0.29921321864487793</v>
      </c>
      <c r="L45" s="24">
        <f t="shared" si="7"/>
        <v>0.47165384004048677</v>
      </c>
      <c r="M45" s="24">
        <f t="shared" si="7"/>
        <v>0.46850294413985055</v>
      </c>
      <c r="N45" s="6"/>
      <c r="O45" s="2" t="s">
        <v>51</v>
      </c>
      <c r="P45" s="26">
        <f>P24/B20</f>
        <v>0.22321930079775359</v>
      </c>
      <c r="Q45" s="26">
        <f>Q24/C20</f>
        <v>0.354884985028669</v>
      </c>
      <c r="R45" s="26">
        <f>R24/D20</f>
        <v>0.40411038534178884</v>
      </c>
      <c r="S45" s="26">
        <f>S24/E20</f>
        <v>0.3964058327304637</v>
      </c>
      <c r="T45" s="26">
        <f>T24/F20</f>
        <v>0.44832954473864794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</v>
      </c>
      <c r="J46" s="24">
        <f t="shared" si="7"/>
        <v>1.184602785526314E-2</v>
      </c>
      <c r="K46" s="24">
        <f t="shared" si="7"/>
        <v>0.55190692372080707</v>
      </c>
      <c r="L46" s="24">
        <f t="shared" si="7"/>
        <v>0.14589715399356382</v>
      </c>
      <c r="M46" s="24">
        <f t="shared" si="7"/>
        <v>0.29278459851232891</v>
      </c>
      <c r="N46" s="6"/>
      <c r="O46" s="2" t="s">
        <v>52</v>
      </c>
      <c r="P46" s="26">
        <f>P24/I22</f>
        <v>1.4760718866455362</v>
      </c>
      <c r="Q46" s="26">
        <f>Q24/J22</f>
        <v>1.2653658019112584</v>
      </c>
      <c r="R46" s="26">
        <f>R24/K22</f>
        <v>1.0009303600458721</v>
      </c>
      <c r="S46" s="26">
        <f>S24/L22</f>
        <v>1.0371203460743426</v>
      </c>
      <c r="T46" s="26">
        <f>T24/M22</f>
        <v>1.0270983377799734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1.1185724899591187</v>
      </c>
      <c r="Q47" s="26">
        <f>Q24/(C22-C20)</f>
        <v>1.9036042314995469</v>
      </c>
      <c r="R47" s="26">
        <f>R24/(D22-D20)</f>
        <v>2.9886146418922479</v>
      </c>
      <c r="S47" s="26">
        <f>S24/(E22-E20)</f>
        <v>2.7519728043080556</v>
      </c>
      <c r="T47" s="26">
        <f>T24/(F22-F20)</f>
        <v>3.379398939284596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e">
        <f>P24/I25</f>
        <v>#DIV/0!</v>
      </c>
      <c r="Q48" s="26">
        <f>Q24/J25</f>
        <v>2.1566176000000001</v>
      </c>
      <c r="R48" s="26" t="e">
        <f>R24/K25</f>
        <v>#DIV/0!</v>
      </c>
      <c r="S48" s="26">
        <f>S24/L25</f>
        <v>1.6388974999999999</v>
      </c>
      <c r="T48" s="26">
        <f>T24/M25</f>
        <v>1.9854915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1.8435456564253576</v>
      </c>
      <c r="Q49" s="26">
        <f>Q24/(Q18*-1)</f>
        <v>3.4627237601989438</v>
      </c>
      <c r="R49" s="26">
        <f>R24/(R18*-1)</f>
        <v>4.7585491560558921</v>
      </c>
      <c r="S49" s="26">
        <f>S24/(S18*-1)</f>
        <v>3.5431025164303009</v>
      </c>
      <c r="T49" s="26">
        <f>T24/(T18*-1)</f>
        <v>6.9273091710918369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-0.68631034451680117</v>
      </c>
      <c r="J50" s="28">
        <f>LN(J13/K13)</f>
        <v>-0.38163385355038254</v>
      </c>
      <c r="K50" s="28">
        <f>LN(K13/L13)</f>
        <v>5.9118372838860969E-2</v>
      </c>
      <c r="L50" s="28">
        <f>LN(L13/M13)</f>
        <v>-0.22592968871132843</v>
      </c>
      <c r="O50" s="2"/>
      <c r="P50" s="12"/>
      <c r="Q50" s="12"/>
      <c r="R50" s="12"/>
    </row>
    <row r="51" spans="1:29">
      <c r="A51" s="29" t="s">
        <v>57</v>
      </c>
      <c r="B51" s="30">
        <f>B11/B17</f>
        <v>1.2442518692052276</v>
      </c>
      <c r="C51" s="30">
        <f>C11/C17</f>
        <v>2.9026012424026288</v>
      </c>
      <c r="D51" s="30">
        <f>D11/D17</f>
        <v>4.6929900204607993</v>
      </c>
      <c r="E51" s="30">
        <f>E11/E17</f>
        <v>4.4005174497493469</v>
      </c>
      <c r="F51" s="30">
        <f>F11/F17</f>
        <v>6.7324956307571622</v>
      </c>
      <c r="H51" s="29" t="s">
        <v>58</v>
      </c>
      <c r="I51" s="31">
        <f>I13/I11</f>
        <v>0.3675440943106329</v>
      </c>
      <c r="J51" s="31">
        <f>J13/J11</f>
        <v>0.58779143932015232</v>
      </c>
      <c r="K51" s="31">
        <f>K13/K11</f>
        <v>0.68533121789534868</v>
      </c>
      <c r="L51" s="31">
        <f>L13/L11</f>
        <v>0.67885490937407289</v>
      </c>
      <c r="M51" s="31">
        <f>M13/M11</f>
        <v>0.72450135551306905</v>
      </c>
      <c r="O51" s="2" t="s">
        <v>59</v>
      </c>
      <c r="P51" s="32">
        <f>(P11-P24-P25)/B16</f>
        <v>4.0391904159912451E-2</v>
      </c>
      <c r="Q51" s="32">
        <f>(Q11-Q24-Q25)/C16</f>
        <v>1.4974047765249503E-2</v>
      </c>
      <c r="R51" s="32">
        <f>(R11-R24-R25)/D16</f>
        <v>4.9331923617167941E-2</v>
      </c>
      <c r="S51" s="32">
        <f>(S11-S24-S25)/E16</f>
        <v>7.5292047226506703E-2</v>
      </c>
      <c r="T51" s="32">
        <f>(T11-T24-T25)/F16</f>
        <v>2.8744534426756983E-2</v>
      </c>
    </row>
    <row r="52" spans="1:29">
      <c r="A52" s="29" t="s">
        <v>60</v>
      </c>
      <c r="B52" s="31">
        <f>I20/B16</f>
        <v>0.12875448632410064</v>
      </c>
      <c r="C52" s="31">
        <f>J20/C16</f>
        <v>0.24371388695881618</v>
      </c>
      <c r="D52" s="31">
        <f>K20/D16</f>
        <v>0.3646094312342068</v>
      </c>
      <c r="E52" s="31">
        <f>L20/E16</f>
        <v>0.34598155130674807</v>
      </c>
      <c r="F52" s="31">
        <f>M20/F16</f>
        <v>0.39599427531477693</v>
      </c>
      <c r="G52" s="31"/>
      <c r="H52" s="29" t="s">
        <v>61</v>
      </c>
      <c r="I52" s="31">
        <f>I16/I11</f>
        <v>2.4302817581980472E-2</v>
      </c>
      <c r="J52" s="31">
        <f>J16/J11</f>
        <v>2.0078003757824689E-2</v>
      </c>
      <c r="K52" s="31">
        <f>K16/K11</f>
        <v>2.1864936615403948E-2</v>
      </c>
      <c r="L52" s="31">
        <f>L16/L11</f>
        <v>1.9134996290442546E-2</v>
      </c>
      <c r="M52" s="31">
        <f>M16/M11</f>
        <v>1.7416465578481415E-2</v>
      </c>
    </row>
    <row r="53" spans="1:29">
      <c r="A53" s="29" t="s">
        <v>62</v>
      </c>
      <c r="B53" s="31">
        <f>I20/B20</f>
        <v>0.15444838338471051</v>
      </c>
      <c r="C53" s="31">
        <f>J20/C20</f>
        <v>0.28914896095869175</v>
      </c>
      <c r="D53" s="31">
        <f>K20/D20</f>
        <v>0.41391068797368913</v>
      </c>
      <c r="E53" s="31">
        <f>L20/E20</f>
        <v>0.39581820112408278</v>
      </c>
      <c r="F53" s="31">
        <f>M20/F20</f>
        <v>0.44852904151452261</v>
      </c>
      <c r="H53" s="29" t="s">
        <v>11</v>
      </c>
      <c r="I53" s="31">
        <f>I17/I11</f>
        <v>0</v>
      </c>
      <c r="J53" s="31">
        <f>J17/J11</f>
        <v>0</v>
      </c>
      <c r="K53" s="31">
        <f>K17/K11</f>
        <v>0</v>
      </c>
      <c r="L53" s="31">
        <f>L17/L11</f>
        <v>0</v>
      </c>
      <c r="M53" s="31">
        <f>M17/M11</f>
        <v>0</v>
      </c>
    </row>
    <row r="54" spans="1:29">
      <c r="A54" s="29" t="s">
        <v>63</v>
      </c>
      <c r="B54" s="30">
        <f>I11/B12</f>
        <v>5.6518703518264184</v>
      </c>
      <c r="C54" s="30">
        <f>J11/C12</f>
        <v>8.1614991003925148</v>
      </c>
      <c r="D54" s="30">
        <f>K11/D12</f>
        <v>11.518178857417583</v>
      </c>
      <c r="E54" s="30">
        <f>L11/E12</f>
        <v>12.388898952301373</v>
      </c>
      <c r="F54" s="30">
        <f>M11/F12</f>
        <v>11.769381282995326</v>
      </c>
      <c r="H54" s="29" t="s">
        <v>64</v>
      </c>
      <c r="I54" s="31">
        <f>I25/I22</f>
        <v>0</v>
      </c>
      <c r="J54" s="31">
        <f>J25/J22</f>
        <v>0.58673628644747133</v>
      </c>
      <c r="K54" s="31">
        <f>K25/K22</f>
        <v>0</v>
      </c>
      <c r="L54" s="31">
        <f>L25/L22</f>
        <v>0.63281586925011635</v>
      </c>
      <c r="M54" s="31">
        <f>M25/M22</f>
        <v>0.51730180551262672</v>
      </c>
    </row>
    <row r="55" spans="1:29">
      <c r="A55" s="29" t="s">
        <v>65</v>
      </c>
      <c r="B55" s="31">
        <f>(B22-B20)/B16</f>
        <v>0.16635911945164084</v>
      </c>
      <c r="C55" s="31">
        <f>(C22-C20)/C16</f>
        <v>0.15713379653598861</v>
      </c>
      <c r="D55" s="31">
        <f>(D22-D20)/D16</f>
        <v>0.11911085693592006</v>
      </c>
      <c r="E55" s="31">
        <f>(E22-E20)/E16</f>
        <v>0.12590792862936512</v>
      </c>
      <c r="F55" s="31">
        <f>(F22-F20)/F16</f>
        <v>0.11712678854050231</v>
      </c>
      <c r="H55" s="29" t="s">
        <v>66</v>
      </c>
      <c r="I55" s="31">
        <f>I22/I11</f>
        <v>0.36963938816299036</v>
      </c>
      <c r="J55" s="31">
        <f>J22/J11</f>
        <v>0.60058354817020998</v>
      </c>
      <c r="K55" s="31">
        <f>K22/K11</f>
        <v>0.71228622145224663</v>
      </c>
      <c r="L55" s="31">
        <f>L22/L11</f>
        <v>0.7453255567048187</v>
      </c>
      <c r="M55" s="31">
        <f>M22/M11</f>
        <v>0.77628572954552666</v>
      </c>
      <c r="N55" s="31"/>
    </row>
    <row r="56" spans="1:29">
      <c r="A56" s="29" t="s">
        <v>67</v>
      </c>
      <c r="B56" s="31">
        <f>(B22-B20)/B20</f>
        <v>0.19955729539344541</v>
      </c>
      <c r="C56" s="31">
        <f>(C22-C20)/C20</f>
        <v>0.18642792401712174</v>
      </c>
      <c r="D56" s="31">
        <f>(D22-D20)/D20</f>
        <v>0.1352166250132287</v>
      </c>
      <c r="E56" s="31">
        <f>(E22-E20)/E20</f>
        <v>0.14404424059348012</v>
      </c>
      <c r="F56" s="31">
        <f>(F22-F20)/F20</f>
        <v>0.13266546885806782</v>
      </c>
      <c r="H56" s="33" t="s">
        <v>68</v>
      </c>
      <c r="I56" s="34">
        <f>I13/B16</f>
        <v>0.12535291699736154</v>
      </c>
      <c r="J56" s="34">
        <f>J13/C16</f>
        <v>0.2313555901106995</v>
      </c>
      <c r="K56" s="34">
        <f>K13/D16</f>
        <v>0.34218689914135197</v>
      </c>
      <c r="L56" s="34">
        <f>L13/E16</f>
        <v>0.30429794023313461</v>
      </c>
      <c r="M56" s="34">
        <f>M13/F16</f>
        <v>0.35966756316720461</v>
      </c>
    </row>
    <row r="57" spans="1:29">
      <c r="A57" s="29" t="s">
        <v>69</v>
      </c>
      <c r="B57" s="30">
        <f>I11/B16</f>
        <v>0.34105545140773907</v>
      </c>
      <c r="C57" s="30">
        <f>J11/C16</f>
        <v>0.39360149643943193</v>
      </c>
      <c r="D57" s="30">
        <f>K11/D16</f>
        <v>0.49930149131715834</v>
      </c>
      <c r="E57" s="30">
        <f>L11/E16</f>
        <v>0.44825180761189098</v>
      </c>
      <c r="F57" s="30">
        <f>M11/F16</f>
        <v>0.49643463111604447</v>
      </c>
      <c r="H57" s="33" t="s">
        <v>70</v>
      </c>
      <c r="I57" s="35">
        <f ca="1">I25/$C$5</f>
        <v>0</v>
      </c>
      <c r="J57" s="35">
        <f ca="1">J25/$C$5</f>
        <v>4.6397890543736386E-2</v>
      </c>
      <c r="K57" s="35">
        <f ca="1">K25/$C$5</f>
        <v>0</v>
      </c>
      <c r="L57" s="35">
        <f ca="1">L25/$C$5</f>
        <v>7.4236624869978216E-2</v>
      </c>
      <c r="M57" s="35">
        <f ca="1">M25/$C$5</f>
        <v>7.4236624869978216E-2</v>
      </c>
    </row>
    <row r="58" spans="1:29">
      <c r="A58" s="29" t="s">
        <v>71</v>
      </c>
      <c r="B58" s="30">
        <f>B16/B20</f>
        <v>1.1995572953934455</v>
      </c>
      <c r="C58" s="30">
        <f>C16/C20</f>
        <v>1.1864279240171218</v>
      </c>
      <c r="D58" s="30">
        <f>D16/D20</f>
        <v>1.1352166250132287</v>
      </c>
      <c r="E58" s="30">
        <f>E16/E20</f>
        <v>1.1440442405934801</v>
      </c>
      <c r="F58" s="30">
        <f>F16/F20</f>
        <v>1.1326654688580677</v>
      </c>
      <c r="H58" s="36" t="s">
        <v>72</v>
      </c>
      <c r="I58" s="37">
        <f ca="1">I22/$C$7/1000</f>
        <v>2.539148717068834</v>
      </c>
      <c r="J58" s="37">
        <f ca="1">J22/$C$7/1000</f>
        <v>5.1242500555634658</v>
      </c>
      <c r="K58" s="37">
        <f ca="1">K22/$C$7/1000</f>
        <v>7.6344129029226808</v>
      </c>
      <c r="L58" s="37">
        <f ca="1">L22/$C$7/1000</f>
        <v>7.6017902698738409</v>
      </c>
      <c r="M58" s="37">
        <f ca="1">M22/$C$7/1000</f>
        <v>9.2992784216560622</v>
      </c>
    </row>
    <row r="59" spans="1:29">
      <c r="H59" s="36" t="s">
        <v>73</v>
      </c>
      <c r="I59" s="37">
        <f ca="1">B20/$C$7/1000</f>
        <v>16.790510604964254</v>
      </c>
      <c r="J59" s="37">
        <f ca="1">C20/$C$7/1000</f>
        <v>18.2708512737671</v>
      </c>
      <c r="K59" s="37">
        <f ca="1">D20/$C$7/1000</f>
        <v>18.909476056147884</v>
      </c>
      <c r="L59" s="37">
        <f ca="1">E20/$C$7/1000</f>
        <v>19.888636100964835</v>
      </c>
      <c r="M59" s="37">
        <f ca="1">F20/$C$7/1000</f>
        <v>21.304135588485472</v>
      </c>
    </row>
    <row r="60" spans="1:29">
      <c r="H60" s="33" t="s">
        <v>74</v>
      </c>
      <c r="I60" s="38">
        <f ca="1">SQRT(22.5*I58*I59)</f>
        <v>30.971859451513833</v>
      </c>
      <c r="J60" s="38">
        <f ca="1">SQRT(22.5*J58*J59)</f>
        <v>45.897159386315401</v>
      </c>
      <c r="K60" s="38">
        <f ca="1">SQRT(22.5*K58*K59)</f>
        <v>56.992647155467914</v>
      </c>
      <c r="L60" s="38">
        <f ca="1">SQRT(22.5*L58*L59)</f>
        <v>58.324590944566097</v>
      </c>
      <c r="M60" s="38">
        <f ca="1">SQRT(22.5*M58*M59)</f>
        <v>66.764844703824878</v>
      </c>
    </row>
    <row r="61" spans="1:29">
      <c r="H61" s="33" t="s">
        <v>75</v>
      </c>
      <c r="I61" s="39">
        <f ca="1">I58-(B20*0.08/1000/$C$7)</f>
        <v>1.1959078686716937</v>
      </c>
      <c r="J61" s="39">
        <f ca="1">J58-(C20*0.08/1000/$C$7)</f>
        <v>3.6625819536620976</v>
      </c>
      <c r="K61" s="39">
        <f ca="1">K58-(D20*0.08/1000/$C$7)</f>
        <v>6.1216548184308497</v>
      </c>
      <c r="L61" s="39">
        <f ca="1">L58-(E20*0.08/1000/$C$7)</f>
        <v>6.0106993817966536</v>
      </c>
      <c r="M61" s="39">
        <f ca="1">M58-(F20*0.08/1000/$C$7)</f>
        <v>7.5949475745772244</v>
      </c>
    </row>
    <row r="62" spans="1:29">
      <c r="H62" s="40" t="s">
        <v>76</v>
      </c>
      <c r="I62" s="41">
        <f ca="1">I25/B7/1000</f>
        <v>0</v>
      </c>
      <c r="J62" s="41">
        <f ca="1">J25/C7/1000</f>
        <v>3.006583448429557</v>
      </c>
      <c r="K62" s="41">
        <f ca="1">K25/C7/1000</f>
        <v>0</v>
      </c>
      <c r="L62" s="41">
        <v>5.8</v>
      </c>
      <c r="M62" s="41">
        <v>5.17</v>
      </c>
    </row>
    <row r="64" spans="1:29">
      <c r="A64" s="2" t="s">
        <v>77</v>
      </c>
      <c r="G64" s="2" t="s">
        <v>78</v>
      </c>
    </row>
    <row r="65" spans="1:10">
      <c r="A65" s="2" t="s">
        <v>79</v>
      </c>
      <c r="G65" s="2" t="s">
        <v>80</v>
      </c>
    </row>
    <row r="66" spans="1:10">
      <c r="A66" s="2" t="s">
        <v>81</v>
      </c>
      <c r="G66" s="42" t="e">
        <f>HYPERLINK("http://www.tadawul.com.sa/wps/portal/!ut/p/c1/lYuxDoIwGAYf6f8oVMKoDLVIGrTQ0C6mAxiiFAejr2_dXNSYG--OHEWCv08nf5uW4C_Uk1sdFUpzkBmDSIoEcqf3RcfWDFUevX3z0ByQWW3ashYpgL9u0Rj-ujXTTZVCsh-3HgKp7TIPZMnlH8sNp5asiJH9Gl3nrn-o8fwEVwpGcw!!/dl2/d1/L3dJMjJ3QSEhL3dIRUJGUUJod"&amp;"FFCZ2pRQmdyUUJoSFFCaEFBISEvWUk1dy83X04wQ1ZSSTQyMEcxOTEwSUtTUTlVMkEyMEI1/?symbol=2020&amp;tabOrder=7&amp;companyInfo_statement_type=4&amp;periodShow=0&amp;isXbrl=0","http://www.tadawul.com.sa/wps/portal/!ut/p/c1/lYuxDoIwGAYf6f8oVMKoDLVIGrTQ0C6mAxiiFAejr2_dXNSYG--OHEWCv08nf5uW4C_Uk1sdFUpzkBmDSIoEcqf3RcfWDFUevX3z0ByQWW3ashYpgL9u0Rj-ujXTTZVCsh-3HgKp7TIPZMnlH8sNp5asiJH9Gl3nrn-o8fwEVwpGcw!!/dl2/d1/L3dJMjJ3QSEhL3dIRUJGUUJod"&amp;"FFCZ2pRQmdyUUJoSFFCaEFBISEvWUk1dy83X04wQ1ZSSTQyMEcxOTEwSUtTUTlVMkEyMEI1/?symbol=2020&amp;tabOrder=7&amp;companyInfo_statement_type=4&amp;periodShow=0&amp;isXbrl=0")</f>
        <v>#VALUE!</v>
      </c>
    </row>
    <row r="67" spans="1:10">
      <c r="I67" s="43"/>
      <c r="J67" s="44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12" width="15.140625"/>
    <col min="13" max="13" width="23.140625"/>
    <col min="14" max="26" width="15.140625"/>
    <col min="27" max="1025" width="14.42578125"/>
  </cols>
  <sheetData>
    <row r="1" spans="1:17">
      <c r="A1" s="2"/>
      <c r="M1" s="6"/>
    </row>
    <row r="2" spans="1:17">
      <c r="A2" s="2"/>
      <c r="M2" s="6"/>
    </row>
    <row r="3" spans="1:17">
      <c r="A3" s="2"/>
      <c r="M3" s="6"/>
    </row>
    <row r="4" spans="1:17">
      <c r="A4" s="2"/>
      <c r="M4" s="6"/>
    </row>
    <row r="5" spans="1:17">
      <c r="A5" s="2" t="s">
        <v>0</v>
      </c>
      <c r="B5" s="68">
        <v>6188.4</v>
      </c>
      <c r="M5" s="6"/>
    </row>
    <row r="6" spans="1:17">
      <c r="A6" s="2" t="s">
        <v>1</v>
      </c>
      <c r="B6" s="4">
        <f>B5*1000+(B22-B20)-N23</f>
        <v>12565909</v>
      </c>
      <c r="M6" s="6"/>
    </row>
    <row r="7" spans="1:17">
      <c r="A7" s="2" t="s">
        <v>2</v>
      </c>
      <c r="B7" s="70">
        <v>1080</v>
      </c>
      <c r="M7" s="6"/>
    </row>
    <row r="8" spans="1:17">
      <c r="M8" s="6"/>
    </row>
    <row r="9" spans="1:17"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4361742</v>
      </c>
      <c r="C11" s="56">
        <v>5668959</v>
      </c>
      <c r="D11" s="56">
        <v>5099412</v>
      </c>
      <c r="E11" s="56">
        <v>3552478</v>
      </c>
      <c r="G11" s="25" t="s">
        <v>7</v>
      </c>
      <c r="H11" s="56">
        <v>2211349</v>
      </c>
      <c r="I11" s="56">
        <v>3056060</v>
      </c>
      <c r="J11" s="56">
        <v>2931168</v>
      </c>
      <c r="K11" s="56">
        <v>3557072</v>
      </c>
      <c r="M11" s="25" t="s">
        <v>8</v>
      </c>
      <c r="N11" s="56">
        <v>368482</v>
      </c>
      <c r="O11" s="56">
        <v>589515</v>
      </c>
      <c r="P11" s="56">
        <v>698990</v>
      </c>
      <c r="Q11" s="56">
        <v>1013967</v>
      </c>
    </row>
    <row r="12" spans="1:17">
      <c r="A12" s="25" t="s">
        <v>9</v>
      </c>
      <c r="B12" s="57"/>
      <c r="C12" s="57"/>
      <c r="D12" s="57"/>
      <c r="E12" s="57"/>
      <c r="G12" s="25" t="s">
        <v>10</v>
      </c>
      <c r="H12" s="56">
        <v>1228117</v>
      </c>
      <c r="I12" s="56">
        <v>1756805</v>
      </c>
      <c r="J12" s="56">
        <v>1778097</v>
      </c>
      <c r="K12" s="56">
        <v>2163366</v>
      </c>
      <c r="M12" s="25" t="s">
        <v>11</v>
      </c>
      <c r="N12" s="56">
        <v>72818</v>
      </c>
      <c r="O12" s="56">
        <v>56492</v>
      </c>
      <c r="P12" s="56">
        <v>50499</v>
      </c>
      <c r="Q12" s="56">
        <v>42521</v>
      </c>
    </row>
    <row r="13" spans="1:17">
      <c r="A13" s="25" t="s">
        <v>12</v>
      </c>
      <c r="B13" s="56">
        <v>20875085</v>
      </c>
      <c r="C13" s="56">
        <v>20642308</v>
      </c>
      <c r="D13" s="56">
        <v>19023418</v>
      </c>
      <c r="E13" s="56">
        <v>18349873</v>
      </c>
      <c r="G13" s="25" t="s">
        <v>13</v>
      </c>
      <c r="H13" s="56">
        <v>983232</v>
      </c>
      <c r="I13" s="56">
        <v>1299255</v>
      </c>
      <c r="J13" s="56">
        <v>1153071</v>
      </c>
      <c r="K13" s="56">
        <v>1393706</v>
      </c>
      <c r="M13" s="25" t="s">
        <v>14</v>
      </c>
      <c r="N13" s="58">
        <v>-204713</v>
      </c>
      <c r="O13" s="58">
        <v>-393217</v>
      </c>
      <c r="P13" s="56">
        <v>128452</v>
      </c>
      <c r="Q13" s="58">
        <v>-265041</v>
      </c>
    </row>
    <row r="14" spans="1:17">
      <c r="A14" s="25" t="s">
        <v>15</v>
      </c>
      <c r="B14" s="56">
        <v>68416</v>
      </c>
      <c r="C14" s="56">
        <v>71279</v>
      </c>
      <c r="D14" s="56">
        <v>74370</v>
      </c>
      <c r="E14" s="56">
        <v>77674</v>
      </c>
      <c r="G14" s="25" t="s">
        <v>16</v>
      </c>
      <c r="H14" s="56">
        <v>13875</v>
      </c>
      <c r="I14" s="56">
        <v>62895</v>
      </c>
      <c r="J14" s="56">
        <v>42570</v>
      </c>
      <c r="K14" s="56">
        <v>93626</v>
      </c>
      <c r="M14" s="25" t="s">
        <v>9</v>
      </c>
      <c r="N14" s="57"/>
      <c r="O14" s="57"/>
      <c r="P14" s="57"/>
      <c r="Q14" s="57"/>
    </row>
    <row r="15" spans="1:17">
      <c r="A15" s="25" t="s">
        <v>17</v>
      </c>
      <c r="B15" s="57"/>
      <c r="C15" s="57"/>
      <c r="D15" s="56">
        <v>132</v>
      </c>
      <c r="E15" s="56">
        <v>264</v>
      </c>
      <c r="G15" s="25" t="s">
        <v>18</v>
      </c>
      <c r="H15" s="56">
        <v>997107</v>
      </c>
      <c r="I15" s="56">
        <v>1362150</v>
      </c>
      <c r="J15" s="56">
        <v>1195641</v>
      </c>
      <c r="K15" s="56">
        <v>1487332</v>
      </c>
      <c r="M15" s="25" t="s">
        <v>19</v>
      </c>
      <c r="N15" s="56">
        <v>15077</v>
      </c>
      <c r="O15" s="56">
        <v>29542</v>
      </c>
      <c r="P15" s="58">
        <v>-5290</v>
      </c>
      <c r="Q15" s="56">
        <v>61744</v>
      </c>
    </row>
    <row r="16" spans="1:17">
      <c r="A16" s="25" t="s">
        <v>20</v>
      </c>
      <c r="B16" s="56">
        <v>25305243</v>
      </c>
      <c r="C16" s="56">
        <v>26382546</v>
      </c>
      <c r="D16" s="56">
        <v>24197332</v>
      </c>
      <c r="E16" s="56">
        <v>21980289</v>
      </c>
      <c r="G16" s="25" t="s">
        <v>21</v>
      </c>
      <c r="H16" s="56">
        <v>204238</v>
      </c>
      <c r="I16" s="56">
        <v>237453</v>
      </c>
      <c r="J16" s="56">
        <v>151027</v>
      </c>
      <c r="K16" s="56">
        <v>153898</v>
      </c>
      <c r="M16" s="25" t="s">
        <v>22</v>
      </c>
      <c r="N16" s="56">
        <v>5753</v>
      </c>
      <c r="O16" s="58">
        <v>-99418</v>
      </c>
      <c r="P16" s="56">
        <v>10965</v>
      </c>
      <c r="Q16" s="58">
        <v>-82463</v>
      </c>
    </row>
    <row r="17" spans="1:26">
      <c r="A17" s="25" t="s">
        <v>23</v>
      </c>
      <c r="B17" s="56">
        <v>2596980</v>
      </c>
      <c r="C17" s="56">
        <v>3337922</v>
      </c>
      <c r="D17" s="56">
        <v>2027894</v>
      </c>
      <c r="E17" s="56">
        <v>2362996</v>
      </c>
      <c r="G17" s="25" t="s">
        <v>11</v>
      </c>
      <c r="H17" s="56">
        <v>3593</v>
      </c>
      <c r="I17" s="56">
        <v>3691</v>
      </c>
      <c r="J17" s="56">
        <v>4011</v>
      </c>
      <c r="K17" s="56">
        <v>21197</v>
      </c>
      <c r="M17" s="25" t="s">
        <v>24</v>
      </c>
      <c r="N17" s="56">
        <v>233845</v>
      </c>
      <c r="O17" s="56">
        <v>149768</v>
      </c>
      <c r="P17" s="56">
        <v>121471</v>
      </c>
      <c r="Q17" s="58">
        <v>-85689</v>
      </c>
    </row>
    <row r="18" spans="1:26">
      <c r="A18" s="25" t="s">
        <v>25</v>
      </c>
      <c r="B18" s="56">
        <v>4781590</v>
      </c>
      <c r="C18" s="56">
        <v>5477108</v>
      </c>
      <c r="D18" s="56">
        <v>5176617</v>
      </c>
      <c r="E18" s="56">
        <v>3305934</v>
      </c>
      <c r="G18" s="25" t="s">
        <v>26</v>
      </c>
      <c r="H18" s="56">
        <v>420794</v>
      </c>
      <c r="I18" s="56">
        <v>531491</v>
      </c>
      <c r="J18" s="56">
        <v>341613</v>
      </c>
      <c r="K18" s="56">
        <v>298270</v>
      </c>
      <c r="M18" s="25" t="s">
        <v>27</v>
      </c>
      <c r="N18" s="58">
        <v>-730</v>
      </c>
      <c r="O18" s="58">
        <v>-600</v>
      </c>
      <c r="P18" s="58">
        <v>-707</v>
      </c>
      <c r="Q18" s="58">
        <v>-455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628625</v>
      </c>
      <c r="I19" s="56">
        <v>772635</v>
      </c>
      <c r="J19" s="56">
        <v>496651</v>
      </c>
      <c r="K19" s="56">
        <v>473365</v>
      </c>
      <c r="M19" s="25" t="s">
        <v>30</v>
      </c>
      <c r="N19" s="58">
        <v>-448249</v>
      </c>
      <c r="O19" s="58">
        <v>-1965370</v>
      </c>
      <c r="P19" s="58">
        <v>-750740</v>
      </c>
      <c r="Q19" s="56">
        <v>379154</v>
      </c>
    </row>
    <row r="20" spans="1:26">
      <c r="A20" s="25" t="s">
        <v>31</v>
      </c>
      <c r="B20" s="56">
        <v>17926673</v>
      </c>
      <c r="C20" s="56">
        <v>17567516</v>
      </c>
      <c r="D20" s="56">
        <v>16992821</v>
      </c>
      <c r="E20" s="56">
        <v>16311359</v>
      </c>
      <c r="G20" s="25" t="s">
        <v>32</v>
      </c>
      <c r="H20" s="56">
        <v>368482</v>
      </c>
      <c r="I20" s="56">
        <v>589515</v>
      </c>
      <c r="J20" s="56">
        <v>698990</v>
      </c>
      <c r="K20" s="56">
        <v>1013967</v>
      </c>
      <c r="M20" s="25" t="s">
        <v>33</v>
      </c>
      <c r="N20" s="58">
        <v>-1350059</v>
      </c>
      <c r="O20" s="56">
        <v>1664986</v>
      </c>
      <c r="P20" s="56">
        <v>1491576</v>
      </c>
      <c r="Q20" s="58">
        <v>-3041138</v>
      </c>
    </row>
    <row r="21" spans="1:26">
      <c r="A21" s="25" t="s">
        <v>34</v>
      </c>
      <c r="B21" s="59"/>
      <c r="C21" s="59"/>
      <c r="D21" s="57"/>
      <c r="E21" s="59"/>
      <c r="G21" s="25" t="s">
        <v>35</v>
      </c>
      <c r="H21" s="56">
        <v>9325</v>
      </c>
      <c r="I21" s="56">
        <v>14820</v>
      </c>
      <c r="J21" s="56">
        <v>17528</v>
      </c>
      <c r="K21" s="56">
        <v>25430</v>
      </c>
      <c r="M21" s="25" t="s">
        <v>36</v>
      </c>
      <c r="N21" s="56">
        <v>1173641</v>
      </c>
      <c r="O21" s="58">
        <v>-1175634</v>
      </c>
      <c r="P21" s="58">
        <v>-1855</v>
      </c>
      <c r="Q21" s="56">
        <v>7397</v>
      </c>
    </row>
    <row r="22" spans="1:26">
      <c r="A22" s="25" t="s">
        <v>37</v>
      </c>
      <c r="B22" s="56">
        <v>25305243</v>
      </c>
      <c r="C22" s="56">
        <v>26382546</v>
      </c>
      <c r="D22" s="56">
        <v>24197332</v>
      </c>
      <c r="E22" s="56">
        <v>21980289</v>
      </c>
      <c r="G22" s="25" t="s">
        <v>8</v>
      </c>
      <c r="H22" s="56">
        <v>359157</v>
      </c>
      <c r="I22" s="56">
        <v>574695</v>
      </c>
      <c r="J22" s="56">
        <v>681462</v>
      </c>
      <c r="K22" s="56">
        <v>988537</v>
      </c>
      <c r="M22" s="25" t="s">
        <v>38</v>
      </c>
      <c r="N22" s="56">
        <v>1135196</v>
      </c>
      <c r="O22" s="56">
        <v>2279132</v>
      </c>
      <c r="P22" s="56">
        <v>535771</v>
      </c>
      <c r="Q22" s="56">
        <v>2505774</v>
      </c>
    </row>
    <row r="23" spans="1:26">
      <c r="G23" s="25" t="s">
        <v>39</v>
      </c>
      <c r="H23" s="57"/>
      <c r="I23" s="57"/>
      <c r="J23" s="57"/>
      <c r="K23" s="57"/>
      <c r="M23" s="25" t="s">
        <v>40</v>
      </c>
      <c r="N23" s="56">
        <v>1001061</v>
      </c>
      <c r="O23" s="56">
        <v>1135196</v>
      </c>
      <c r="P23" s="56">
        <v>2279132</v>
      </c>
      <c r="Q23" s="56">
        <v>535771</v>
      </c>
    </row>
    <row r="24" spans="1:26">
      <c r="B24" s="28">
        <f>H20/B22</f>
        <v>1.4561488305012523E-2</v>
      </c>
      <c r="G24" s="25" t="s">
        <v>41</v>
      </c>
      <c r="H24" s="57"/>
      <c r="I24" s="57"/>
      <c r="J24" s="57"/>
      <c r="K24" s="57"/>
      <c r="M24" s="2" t="s">
        <v>42</v>
      </c>
      <c r="N24" s="12">
        <f>SUM(N11:N17)</f>
        <v>491262</v>
      </c>
      <c r="O24" s="12">
        <f>SUM(O11:O17)</f>
        <v>332682</v>
      </c>
      <c r="P24" s="12">
        <f>SUM(P11:P17)</f>
        <v>1005087</v>
      </c>
      <c r="Q24" s="12">
        <f>SUM(Q11:Q17)</f>
        <v>685039</v>
      </c>
    </row>
    <row r="25" spans="1:26">
      <c r="G25" s="25" t="s">
        <v>43</v>
      </c>
      <c r="H25" s="57">
        <v>0</v>
      </c>
      <c r="I25" s="57">
        <v>0</v>
      </c>
      <c r="J25" s="57">
        <v>0</v>
      </c>
      <c r="K25" s="57">
        <v>0</v>
      </c>
      <c r="M25" s="2" t="s">
        <v>44</v>
      </c>
      <c r="N25" s="12">
        <f>N18+N19</f>
        <v>-448979</v>
      </c>
      <c r="O25" s="12">
        <f>O18+O19</f>
        <v>-1965970</v>
      </c>
      <c r="P25" s="12">
        <f>P18+P19</f>
        <v>-751447</v>
      </c>
      <c r="Q25" s="12">
        <f>Q18+Q19</f>
        <v>378699</v>
      </c>
    </row>
    <row r="26" spans="1:26">
      <c r="G26" s="25" t="s">
        <v>45</v>
      </c>
      <c r="H26" s="57"/>
      <c r="I26" s="57"/>
      <c r="J26" s="57"/>
      <c r="K26" s="57"/>
      <c r="M26" s="2" t="s">
        <v>46</v>
      </c>
      <c r="N26" s="12">
        <f>N20+N21</f>
        <v>-176418</v>
      </c>
      <c r="O26" s="12">
        <f>O20+O21</f>
        <v>489352</v>
      </c>
      <c r="P26" s="12">
        <f>P20+P21</f>
        <v>1489721</v>
      </c>
      <c r="Q26" s="12">
        <f>Q20+Q21</f>
        <v>-3033741</v>
      </c>
    </row>
    <row r="27" spans="1:26">
      <c r="G27" s="25" t="s">
        <v>47</v>
      </c>
      <c r="H27" s="57"/>
      <c r="I27" s="56">
        <v>574695</v>
      </c>
      <c r="J27" s="56">
        <v>681462</v>
      </c>
      <c r="K27" s="56">
        <v>988537</v>
      </c>
      <c r="M27" s="2" t="s">
        <v>48</v>
      </c>
      <c r="N27" s="12">
        <f>N24+N25+N26</f>
        <v>-134135</v>
      </c>
      <c r="O27" s="12">
        <f>O24+O25+O26</f>
        <v>-1143936</v>
      </c>
      <c r="P27" s="12">
        <f>P24+P25+P26</f>
        <v>1743361</v>
      </c>
      <c r="Q27" s="12">
        <f>Q24+Q25+Q26</f>
        <v>-1970003</v>
      </c>
    </row>
    <row r="28" spans="1:26">
      <c r="M28" s="2" t="s">
        <v>104</v>
      </c>
      <c r="N28" s="12">
        <f>N24+N18</f>
        <v>490532</v>
      </c>
      <c r="O28" s="12">
        <f>O24+O18</f>
        <v>332082</v>
      </c>
      <c r="P28" s="12">
        <f>P24+P18</f>
        <v>1004380</v>
      </c>
      <c r="Q28" s="12">
        <f>Q24+Q18</f>
        <v>684584</v>
      </c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0.1723651497833868</v>
      </c>
      <c r="C30" s="24">
        <f t="shared" si="0"/>
        <v>0.2148753573669501</v>
      </c>
      <c r="D30" s="24">
        <f t="shared" si="0"/>
        <v>0.21074273808368624</v>
      </c>
      <c r="E30" s="24">
        <f t="shared" si="0"/>
        <v>0.1616210778666286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0.16663222313619425</v>
      </c>
      <c r="O30" s="26">
        <f t="shared" ref="O30:O42" si="3">O11/I$11</f>
        <v>0.19290033572639281</v>
      </c>
      <c r="P30" s="26">
        <f t="shared" ref="P30:P42" si="4">P11/J$11</f>
        <v>0.23846807825412941</v>
      </c>
      <c r="Q30" s="26">
        <f t="shared" ref="Q30:Q42" si="5">Q11/K$11</f>
        <v>0.28505664209214771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</v>
      </c>
      <c r="C31" s="24">
        <f t="shared" si="0"/>
        <v>0</v>
      </c>
      <c r="D31" s="24">
        <f t="shared" si="0"/>
        <v>0</v>
      </c>
      <c r="E31" s="24">
        <f t="shared" si="0"/>
        <v>0</v>
      </c>
      <c r="F31" s="6"/>
      <c r="G31" s="25" t="s">
        <v>10</v>
      </c>
      <c r="H31" s="24">
        <f t="shared" si="1"/>
        <v>0.55537004787575361</v>
      </c>
      <c r="I31" s="24">
        <f t="shared" si="1"/>
        <v>0.57485945956558449</v>
      </c>
      <c r="J31" s="24">
        <f t="shared" si="1"/>
        <v>0.60661722562473386</v>
      </c>
      <c r="K31" s="24">
        <f t="shared" si="1"/>
        <v>0.60818729561841878</v>
      </c>
      <c r="L31" s="6"/>
      <c r="M31" s="25" t="s">
        <v>11</v>
      </c>
      <c r="N31" s="26">
        <f t="shared" si="2"/>
        <v>3.2929221032048761E-2</v>
      </c>
      <c r="O31" s="26">
        <f t="shared" si="3"/>
        <v>1.8485239164152536E-2</v>
      </c>
      <c r="P31" s="26">
        <f t="shared" si="4"/>
        <v>1.7228285789146168E-2</v>
      </c>
      <c r="Q31" s="26">
        <f t="shared" si="5"/>
        <v>1.1953932897619165E-2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0.82493122077507808</v>
      </c>
      <c r="C32" s="24">
        <f t="shared" si="0"/>
        <v>0.78242289428776135</v>
      </c>
      <c r="D32" s="24">
        <f t="shared" si="0"/>
        <v>0.78617832742882565</v>
      </c>
      <c r="E32" s="24">
        <f t="shared" si="0"/>
        <v>0.83483310888223539</v>
      </c>
      <c r="F32" s="6"/>
      <c r="G32" s="25" t="s">
        <v>13</v>
      </c>
      <c r="H32" s="24">
        <f t="shared" si="1"/>
        <v>0.44462995212424633</v>
      </c>
      <c r="I32" s="24">
        <f t="shared" si="1"/>
        <v>0.42514054043441557</v>
      </c>
      <c r="J32" s="24">
        <f t="shared" si="1"/>
        <v>0.39338277437526609</v>
      </c>
      <c r="K32" s="24">
        <f t="shared" si="1"/>
        <v>0.39181270438158128</v>
      </c>
      <c r="L32" s="6"/>
      <c r="M32" s="25" t="s">
        <v>14</v>
      </c>
      <c r="N32" s="26">
        <f t="shared" si="2"/>
        <v>-9.2573809018838729E-2</v>
      </c>
      <c r="O32" s="26">
        <f t="shared" si="3"/>
        <v>-0.12866795808982809</v>
      </c>
      <c r="P32" s="26">
        <f t="shared" si="4"/>
        <v>4.3822803742398934E-2</v>
      </c>
      <c r="Q32" s="26">
        <f t="shared" si="5"/>
        <v>-7.4511002307515839E-2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2.7036294415351001E-3</v>
      </c>
      <c r="C33" s="24">
        <f t="shared" si="0"/>
        <v>2.7017483452885858E-3</v>
      </c>
      <c r="D33" s="24">
        <f t="shared" si="0"/>
        <v>3.0734793406149074E-3</v>
      </c>
      <c r="E33" s="24">
        <f t="shared" si="0"/>
        <v>3.5338024900400536E-3</v>
      </c>
      <c r="F33" s="6"/>
      <c r="G33" s="25" t="s">
        <v>16</v>
      </c>
      <c r="H33" s="24">
        <f t="shared" si="1"/>
        <v>6.2744505729308217E-3</v>
      </c>
      <c r="I33" s="24">
        <f t="shared" si="1"/>
        <v>2.0580420541481514E-2</v>
      </c>
      <c r="J33" s="24">
        <f t="shared" si="1"/>
        <v>1.4523220777519405E-2</v>
      </c>
      <c r="K33" s="24">
        <f t="shared" si="1"/>
        <v>2.6321086556583616E-2</v>
      </c>
      <c r="L33" s="6"/>
      <c r="M33" s="25" t="s">
        <v>9</v>
      </c>
      <c r="N33" s="26">
        <f t="shared" si="2"/>
        <v>0</v>
      </c>
      <c r="O33" s="26">
        <f t="shared" si="3"/>
        <v>0</v>
      </c>
      <c r="P33" s="26">
        <f t="shared" si="4"/>
        <v>0</v>
      </c>
      <c r="Q33" s="26">
        <f t="shared" si="5"/>
        <v>0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5.455146873217262E-6</v>
      </c>
      <c r="E34" s="24">
        <f t="shared" si="0"/>
        <v>1.2010761095998329E-5</v>
      </c>
      <c r="F34" s="6"/>
      <c r="G34" s="25" t="s">
        <v>18</v>
      </c>
      <c r="H34" s="24">
        <f t="shared" si="1"/>
        <v>0.45090440269717713</v>
      </c>
      <c r="I34" s="24">
        <f t="shared" si="1"/>
        <v>0.44572096097589708</v>
      </c>
      <c r="J34" s="24">
        <f t="shared" si="1"/>
        <v>0.40790599515278553</v>
      </c>
      <c r="K34" s="24">
        <f t="shared" si="1"/>
        <v>0.41813379093816488</v>
      </c>
      <c r="L34" s="6"/>
      <c r="M34" s="25" t="s">
        <v>19</v>
      </c>
      <c r="N34" s="26">
        <f t="shared" si="2"/>
        <v>6.8180101829245403E-3</v>
      </c>
      <c r="O34" s="26">
        <f t="shared" si="3"/>
        <v>9.6666950256212251E-3</v>
      </c>
      <c r="P34" s="26">
        <f t="shared" si="4"/>
        <v>-1.8047413181366608E-3</v>
      </c>
      <c r="Q34" s="26">
        <f t="shared" si="5"/>
        <v>1.7358096771726859E-2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9.2359008008233892E-2</v>
      </c>
      <c r="I35" s="24">
        <f t="shared" si="1"/>
        <v>7.7699063500062171E-2</v>
      </c>
      <c r="J35" s="24">
        <f t="shared" si="1"/>
        <v>5.152451173047741E-2</v>
      </c>
      <c r="K35" s="24">
        <f t="shared" si="1"/>
        <v>4.3265359824035052E-2</v>
      </c>
      <c r="L35" s="6"/>
      <c r="M35" s="25" t="s">
        <v>22</v>
      </c>
      <c r="N35" s="26">
        <f t="shared" si="2"/>
        <v>2.6015793979150283E-3</v>
      </c>
      <c r="O35" s="26">
        <f t="shared" si="3"/>
        <v>-3.2531429356753468E-2</v>
      </c>
      <c r="P35" s="26">
        <f t="shared" si="4"/>
        <v>3.7408295942095438E-3</v>
      </c>
      <c r="Q35" s="26">
        <f t="shared" si="5"/>
        <v>-2.3182831272462293E-2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0.10262616328165669</v>
      </c>
      <c r="C36" s="24">
        <f t="shared" si="0"/>
        <v>0.12652008642380458</v>
      </c>
      <c r="D36" s="24">
        <f t="shared" si="0"/>
        <v>8.3806512222091262E-2</v>
      </c>
      <c r="E36" s="24">
        <f t="shared" si="0"/>
        <v>0.10750522888939268</v>
      </c>
      <c r="F36" s="6"/>
      <c r="G36" s="25" t="s">
        <v>11</v>
      </c>
      <c r="H36" s="24">
        <f t="shared" si="1"/>
        <v>1.6248000654803922E-3</v>
      </c>
      <c r="I36" s="24">
        <f t="shared" si="1"/>
        <v>1.2077642454663849E-3</v>
      </c>
      <c r="J36" s="24">
        <f t="shared" si="1"/>
        <v>1.3683964890446403E-3</v>
      </c>
      <c r="K36" s="24">
        <f t="shared" si="1"/>
        <v>5.959114687585745E-3</v>
      </c>
      <c r="L36" s="6"/>
      <c r="M36" s="25" t="s">
        <v>24</v>
      </c>
      <c r="N36" s="26">
        <f t="shared" si="2"/>
        <v>0.10574766805239698</v>
      </c>
      <c r="O36" s="26">
        <f t="shared" si="3"/>
        <v>4.9006891225957604E-2</v>
      </c>
      <c r="P36" s="26">
        <f t="shared" si="4"/>
        <v>4.1441159292132011E-2</v>
      </c>
      <c r="Q36" s="26">
        <f t="shared" si="5"/>
        <v>-2.408975696865287E-2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0.18895649411467813</v>
      </c>
      <c r="C37" s="24">
        <f t="shared" si="0"/>
        <v>0.20760346632201457</v>
      </c>
      <c r="D37" s="24">
        <f t="shared" si="0"/>
        <v>0.21393337910146457</v>
      </c>
      <c r="E37" s="24">
        <f t="shared" si="0"/>
        <v>0.15040448285279598</v>
      </c>
      <c r="F37" s="6"/>
      <c r="G37" s="25" t="s">
        <v>26</v>
      </c>
      <c r="H37" s="24">
        <f t="shared" si="1"/>
        <v>0.19028837148726863</v>
      </c>
      <c r="I37" s="24">
        <f t="shared" si="1"/>
        <v>0.1739137975039757</v>
      </c>
      <c r="J37" s="24">
        <f t="shared" si="1"/>
        <v>0.11654500867913405</v>
      </c>
      <c r="K37" s="24">
        <f t="shared" si="1"/>
        <v>8.3852674334396374E-2</v>
      </c>
      <c r="L37" s="6"/>
      <c r="M37" s="25" t="s">
        <v>27</v>
      </c>
      <c r="N37" s="26">
        <f t="shared" si="2"/>
        <v>-3.301152373505946E-4</v>
      </c>
      <c r="O37" s="26">
        <f t="shared" si="3"/>
        <v>-1.9633122386340581E-4</v>
      </c>
      <c r="P37" s="26">
        <f t="shared" si="4"/>
        <v>-2.4120077730106223E-4</v>
      </c>
      <c r="Q37" s="26">
        <f t="shared" si="5"/>
        <v>-1.2791419459600481E-4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0.28427217956098288</v>
      </c>
      <c r="I38" s="24">
        <f t="shared" si="1"/>
        <v>0.25282062524950427</v>
      </c>
      <c r="J38" s="24">
        <f t="shared" si="1"/>
        <v>0.16943791689865609</v>
      </c>
      <c r="K38" s="24">
        <f t="shared" si="1"/>
        <v>0.13307714884601718</v>
      </c>
      <c r="L38" s="6"/>
      <c r="M38" s="25" t="s">
        <v>30</v>
      </c>
      <c r="N38" s="26">
        <f t="shared" si="2"/>
        <v>-0.20270386990022832</v>
      </c>
      <c r="O38" s="26">
        <f t="shared" si="3"/>
        <v>-0.64310582907403646</v>
      </c>
      <c r="P38" s="26">
        <f t="shared" si="4"/>
        <v>-0.25612315636633587</v>
      </c>
      <c r="Q38" s="26">
        <f t="shared" si="5"/>
        <v>0.10659160118209583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0.70841734260366518</v>
      </c>
      <c r="C39" s="24">
        <f t="shared" si="0"/>
        <v>0.66587644725418083</v>
      </c>
      <c r="D39" s="24">
        <f t="shared" si="0"/>
        <v>0.70226010867644417</v>
      </c>
      <c r="E39" s="24">
        <f t="shared" si="0"/>
        <v>0.74209028825781131</v>
      </c>
      <c r="F39" s="6"/>
      <c r="G39" s="25" t="s">
        <v>32</v>
      </c>
      <c r="H39" s="24">
        <f t="shared" si="1"/>
        <v>0.16663222313619425</v>
      </c>
      <c r="I39" s="24">
        <f t="shared" si="1"/>
        <v>0.19290033572639281</v>
      </c>
      <c r="J39" s="24">
        <f t="shared" si="1"/>
        <v>0.23846807825412941</v>
      </c>
      <c r="K39" s="24">
        <f t="shared" si="1"/>
        <v>0.28505664209214771</v>
      </c>
      <c r="L39" s="6"/>
      <c r="M39" s="25" t="s">
        <v>33</v>
      </c>
      <c r="N39" s="26">
        <f t="shared" si="2"/>
        <v>-0.61051376331822793</v>
      </c>
      <c r="O39" s="26">
        <f t="shared" si="3"/>
        <v>0.54481456515906102</v>
      </c>
      <c r="P39" s="26">
        <f t="shared" si="4"/>
        <v>0.50886745488487861</v>
      </c>
      <c r="Q39" s="26">
        <f t="shared" si="5"/>
        <v>-0.85495542401165903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4.2168829976634171E-3</v>
      </c>
      <c r="I40" s="24">
        <f t="shared" si="1"/>
        <v>4.8493812294261238E-3</v>
      </c>
      <c r="J40" s="24">
        <f t="shared" si="1"/>
        <v>5.9798687758599988E-3</v>
      </c>
      <c r="K40" s="24">
        <f t="shared" si="1"/>
        <v>7.1491383924756095E-3</v>
      </c>
      <c r="L40" s="6"/>
      <c r="M40" s="25" t="s">
        <v>36</v>
      </c>
      <c r="N40" s="26">
        <f t="shared" si="2"/>
        <v>0.53073531134162899</v>
      </c>
      <c r="O40" s="26">
        <f t="shared" si="3"/>
        <v>-0.38468943672571876</v>
      </c>
      <c r="P40" s="26">
        <f t="shared" si="4"/>
        <v>-6.3285352460179696E-4</v>
      </c>
      <c r="Q40" s="26">
        <f t="shared" si="5"/>
        <v>2.0795193350036209E-3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0.16241534013853082</v>
      </c>
      <c r="I41" s="24">
        <f t="shared" si="1"/>
        <v>0.18805095449696668</v>
      </c>
      <c r="J41" s="24">
        <f t="shared" si="1"/>
        <v>0.23248820947826943</v>
      </c>
      <c r="K41" s="24">
        <f t="shared" si="1"/>
        <v>0.2779075036996721</v>
      </c>
      <c r="L41" s="6"/>
      <c r="M41" s="25" t="s">
        <v>38</v>
      </c>
      <c r="N41" s="26">
        <f t="shared" si="2"/>
        <v>0.51334999586225427</v>
      </c>
      <c r="O41" s="26">
        <f t="shared" si="3"/>
        <v>0.74577462484375312</v>
      </c>
      <c r="P41" s="26">
        <f t="shared" si="4"/>
        <v>0.18278413246869507</v>
      </c>
      <c r="Q41" s="26">
        <f t="shared" si="5"/>
        <v>0.70444849021892164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</v>
      </c>
      <c r="I42" s="24">
        <f t="shared" si="1"/>
        <v>0</v>
      </c>
      <c r="J42" s="24">
        <f t="shared" si="1"/>
        <v>0</v>
      </c>
      <c r="K42" s="24">
        <f t="shared" si="1"/>
        <v>0</v>
      </c>
      <c r="L42" s="6"/>
      <c r="M42" s="25" t="s">
        <v>40</v>
      </c>
      <c r="N42" s="26">
        <f t="shared" si="2"/>
        <v>0.45269245153071724</v>
      </c>
      <c r="O42" s="26">
        <f t="shared" si="3"/>
        <v>0.37145736667473805</v>
      </c>
      <c r="P42" s="26">
        <f t="shared" si="4"/>
        <v>0.7775507920392144</v>
      </c>
      <c r="Q42" s="26">
        <f t="shared" si="5"/>
        <v>0.15062135374262878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0</v>
      </c>
      <c r="K43" s="24">
        <f t="shared" si="1"/>
        <v>0</v>
      </c>
      <c r="L43" s="6"/>
      <c r="M43" s="2" t="s">
        <v>49</v>
      </c>
      <c r="N43" s="26">
        <f>N24/H11</f>
        <v>0.22215489278264083</v>
      </c>
      <c r="O43" s="26">
        <f>O24/I11</f>
        <v>0.10885977369554263</v>
      </c>
      <c r="P43" s="26">
        <f>P24/J11</f>
        <v>0.34289641535387944</v>
      </c>
      <c r="Q43" s="26">
        <f>Q24/K11</f>
        <v>0.19258508121286272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</v>
      </c>
      <c r="I44" s="24">
        <f t="shared" si="1"/>
        <v>0</v>
      </c>
      <c r="J44" s="24">
        <f t="shared" si="1"/>
        <v>0</v>
      </c>
      <c r="K44" s="24">
        <f t="shared" si="1"/>
        <v>0</v>
      </c>
      <c r="L44" s="6"/>
      <c r="M44" s="2" t="s">
        <v>50</v>
      </c>
      <c r="N44" s="26">
        <f>N24/B16</f>
        <v>1.941344724490494E-2</v>
      </c>
      <c r="O44" s="26">
        <f>O24/C16</f>
        <v>1.26099277908963E-2</v>
      </c>
      <c r="P44" s="26">
        <f>P24/D16</f>
        <v>4.1537100040616046E-2</v>
      </c>
      <c r="Q44" s="26">
        <f>Q24/E16</f>
        <v>3.1166059736521208E-2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0</v>
      </c>
      <c r="J45" s="24">
        <f t="shared" si="1"/>
        <v>0</v>
      </c>
      <c r="K45" s="24">
        <f t="shared" si="1"/>
        <v>0</v>
      </c>
      <c r="L45" s="6"/>
      <c r="M45" s="2" t="s">
        <v>51</v>
      </c>
      <c r="N45" s="26">
        <f>N24/B20</f>
        <v>2.7403969492833389E-2</v>
      </c>
      <c r="O45" s="26">
        <f>O24/C20</f>
        <v>1.893733866529565E-2</v>
      </c>
      <c r="P45" s="26">
        <f>P24/D20</f>
        <v>5.9147742449590916E-2</v>
      </c>
      <c r="Q45" s="26">
        <f>Q24/E20</f>
        <v>4.199766555318904E-2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</v>
      </c>
      <c r="I46" s="24">
        <f t="shared" si="1"/>
        <v>0.18805095449696668</v>
      </c>
      <c r="J46" s="24">
        <f t="shared" si="1"/>
        <v>0.23248820947826943</v>
      </c>
      <c r="K46" s="24">
        <f t="shared" si="1"/>
        <v>0.2779075036996721</v>
      </c>
      <c r="L46" s="6"/>
      <c r="M46" s="2" t="s">
        <v>52</v>
      </c>
      <c r="N46" s="26">
        <f>N24/H22</f>
        <v>1.3678196443338151</v>
      </c>
      <c r="O46" s="26">
        <f>O24/I22</f>
        <v>0.57888445175266878</v>
      </c>
      <c r="P46" s="26">
        <f>P24/J22</f>
        <v>1.4748980867605237</v>
      </c>
      <c r="Q46" s="26">
        <f>Q24/K22</f>
        <v>0.69298266023426536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6.6579567585589083E-2</v>
      </c>
      <c r="O47" s="26">
        <f>O24/(C22-C20)</f>
        <v>3.7740313986452681E-2</v>
      </c>
      <c r="P47" s="26">
        <f>P24/(D22-D20)</f>
        <v>0.13950801102253851</v>
      </c>
      <c r="Q47" s="26">
        <f>Q24/(E22-E20)</f>
        <v>0.12084096998904555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>N24/H25</f>
        <v>#DIV/0!</v>
      </c>
      <c r="O48" s="26" t="e">
        <f>O24/I25</f>
        <v>#DIV/0!</v>
      </c>
      <c r="P48" s="26" t="e">
        <f>P24/J25</f>
        <v>#DIV/0!</v>
      </c>
      <c r="Q48" s="26" t="e">
        <f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672.96164383561643</v>
      </c>
      <c r="O49" s="26">
        <f>O24/(O18*-1)</f>
        <v>554.47</v>
      </c>
      <c r="P49" s="26">
        <f>P24/(P18*-1)</f>
        <v>1421.6223479490807</v>
      </c>
      <c r="Q49" s="26">
        <f>Q24/(Q18*-1)</f>
        <v>1505.5802197802197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-0.27870119774701346</v>
      </c>
      <c r="I50" s="28">
        <f>LN(I13/J13)</f>
        <v>0.11936220539113325</v>
      </c>
      <c r="J50" s="28">
        <f>LN(J13/K13)</f>
        <v>-0.18953756833930013</v>
      </c>
      <c r="M50" s="2"/>
      <c r="N50" s="12"/>
      <c r="O50" s="12"/>
    </row>
    <row r="51" spans="1:26">
      <c r="A51" s="29" t="s">
        <v>57</v>
      </c>
      <c r="B51" s="30">
        <f>B11/B17</f>
        <v>1.6795439317977034</v>
      </c>
      <c r="C51" s="30">
        <f>C11/C17</f>
        <v>1.6983497517317661</v>
      </c>
      <c r="D51" s="30">
        <f>D11/D17</f>
        <v>2.5146343941054119</v>
      </c>
      <c r="E51" s="30">
        <f>E11/E17</f>
        <v>1.5033787615383183</v>
      </c>
      <c r="G51" s="29" t="s">
        <v>58</v>
      </c>
      <c r="H51" s="63">
        <f>H13/H11</f>
        <v>0.44462995212424633</v>
      </c>
      <c r="I51" s="63">
        <f>I13/I11</f>
        <v>0.42514054043441557</v>
      </c>
      <c r="J51" s="63">
        <f>J13/J11</f>
        <v>0.39338277437526609</v>
      </c>
      <c r="K51" s="63">
        <f>K13/K11</f>
        <v>0.39181270438158128</v>
      </c>
      <c r="M51" s="2" t="s">
        <v>59</v>
      </c>
      <c r="N51" s="32">
        <f>(N11-N24-N25)/B16</f>
        <v>1.2890569752679316E-2</v>
      </c>
      <c r="O51" s="32">
        <f>(O11-O24-O25)/C16</f>
        <v>8.425278591383864E-2</v>
      </c>
      <c r="P51" s="32">
        <f>(P11-P24-P25)/D16</f>
        <v>1.8404921666570512E-2</v>
      </c>
      <c r="Q51" s="32">
        <f>(Q11-Q24-Q25)/E16</f>
        <v>-2.2643469337459577E-3</v>
      </c>
    </row>
    <row r="52" spans="1:26">
      <c r="A52" s="29" t="s">
        <v>60</v>
      </c>
      <c r="B52" s="31">
        <f>H20/B16</f>
        <v>1.4561488305012523E-2</v>
      </c>
      <c r="C52" s="31">
        <f>I20/C16</f>
        <v>2.234488665347158E-2</v>
      </c>
      <c r="D52" s="31">
        <f>J20/D16</f>
        <v>2.8887069037197986E-2</v>
      </c>
      <c r="E52" s="31">
        <f>K20/E16</f>
        <v>4.6130740137220218E-2</v>
      </c>
      <c r="F52" s="31"/>
      <c r="G52" s="29" t="s">
        <v>61</v>
      </c>
      <c r="H52" s="63">
        <f>H16/H11</f>
        <v>9.2359008008233892E-2</v>
      </c>
      <c r="I52" s="63">
        <f>I16/I11</f>
        <v>7.7699063500062171E-2</v>
      </c>
      <c r="J52" s="63">
        <f>J16/J11</f>
        <v>5.152451173047741E-2</v>
      </c>
      <c r="K52" s="63">
        <f>K16/K11</f>
        <v>4.3265359824035052E-2</v>
      </c>
      <c r="M52" s="6"/>
    </row>
    <row r="53" spans="1:26">
      <c r="A53" s="29" t="s">
        <v>62</v>
      </c>
      <c r="B53" s="31">
        <f>H20/B20</f>
        <v>2.0554957408996082E-2</v>
      </c>
      <c r="C53" s="31">
        <f>I20/C20</f>
        <v>3.3557106195320957E-2</v>
      </c>
      <c r="D53" s="31">
        <f>J20/D20</f>
        <v>4.1134429651203883E-2</v>
      </c>
      <c r="E53" s="31">
        <f>K20/E20</f>
        <v>6.2163244644422334E-2</v>
      </c>
      <c r="G53" s="29" t="s">
        <v>11</v>
      </c>
      <c r="H53" s="71">
        <f>H17/H11</f>
        <v>1.6248000654803922E-3</v>
      </c>
      <c r="I53" s="71">
        <f>I17/I11</f>
        <v>1.2077642454663849E-3</v>
      </c>
      <c r="J53" s="71">
        <f>J17/J11</f>
        <v>1.3683964890446403E-3</v>
      </c>
      <c r="K53" s="71">
        <f>K17/K11</f>
        <v>5.959114687585745E-3</v>
      </c>
      <c r="M53" s="6"/>
    </row>
    <row r="54" spans="1:26">
      <c r="A54" s="29" t="s">
        <v>63</v>
      </c>
      <c r="B54" s="30" t="e">
        <f>H11/B12</f>
        <v>#DIV/0!</v>
      </c>
      <c r="C54" s="30" t="e">
        <f>I11/C12</f>
        <v>#DIV/0!</v>
      </c>
      <c r="D54" s="30" t="e">
        <f>J11/D12</f>
        <v>#DIV/0!</v>
      </c>
      <c r="E54" s="30" t="e">
        <f>K11/E12</f>
        <v>#DIV/0!</v>
      </c>
      <c r="G54" s="29" t="s">
        <v>64</v>
      </c>
      <c r="H54" s="63">
        <f>H25/H22</f>
        <v>0</v>
      </c>
      <c r="I54" s="63">
        <f>I25/I22</f>
        <v>0</v>
      </c>
      <c r="J54" s="63">
        <f>J25/J22</f>
        <v>0</v>
      </c>
      <c r="K54" s="63">
        <f>K25/K22</f>
        <v>0</v>
      </c>
      <c r="M54" s="6"/>
    </row>
    <row r="55" spans="1:26">
      <c r="A55" s="29" t="s">
        <v>65</v>
      </c>
      <c r="B55" s="31">
        <f>(B22-B20)/B16</f>
        <v>0.29158265739633482</v>
      </c>
      <c r="C55" s="31">
        <f>(C22-C20)/C16</f>
        <v>0.33412355274581917</v>
      </c>
      <c r="D55" s="31">
        <f>(D22-D20)/D16</f>
        <v>0.29773989132355583</v>
      </c>
      <c r="E55" s="31">
        <f>(E22-E20)/E16</f>
        <v>0.25790971174218863</v>
      </c>
      <c r="G55" s="29" t="s">
        <v>66</v>
      </c>
      <c r="H55" s="63">
        <f>H22/H11</f>
        <v>0.16241534013853082</v>
      </c>
      <c r="I55" s="63">
        <f>I22/I11</f>
        <v>0.18805095449696668</v>
      </c>
      <c r="J55" s="63">
        <f>J22/J11</f>
        <v>0.23248820947826943</v>
      </c>
      <c r="K55" s="63">
        <f>K22/K11</f>
        <v>0.2779075036996721</v>
      </c>
      <c r="L55" s="31"/>
      <c r="M55" s="6"/>
    </row>
    <row r="56" spans="1:26">
      <c r="A56" s="29" t="s">
        <v>67</v>
      </c>
      <c r="B56" s="31">
        <f>(B22-B20)/B20</f>
        <v>0.41159728857663663</v>
      </c>
      <c r="C56" s="31">
        <f>(C22-C20)/C20</f>
        <v>0.50178010368682746</v>
      </c>
      <c r="D56" s="31">
        <f>(D22-D20)/D20</f>
        <v>0.42397380635034054</v>
      </c>
      <c r="E56" s="31">
        <f>(E22-E20)/E20</f>
        <v>0.3475449225291406</v>
      </c>
      <c r="G56" s="33" t="s">
        <v>68</v>
      </c>
      <c r="H56" s="34">
        <f>H13/B16</f>
        <v>3.8854872881481518E-2</v>
      </c>
      <c r="I56" s="34">
        <f>I13/C16</f>
        <v>4.9246763371510849E-2</v>
      </c>
      <c r="J56" s="34">
        <f>J13/D16</f>
        <v>4.765281560793562E-2</v>
      </c>
      <c r="K56" s="34">
        <f>K13/E16</f>
        <v>6.340708259113427E-2</v>
      </c>
      <c r="M56" s="6"/>
    </row>
    <row r="57" spans="1:26">
      <c r="A57" s="29" t="s">
        <v>69</v>
      </c>
      <c r="B57" s="30">
        <f>H11/B16</f>
        <v>8.7386989328654144E-2</v>
      </c>
      <c r="C57" s="30">
        <f>I11/C16</f>
        <v>0.11583643216238493</v>
      </c>
      <c r="D57" s="30">
        <f>J11/D16</f>
        <v>0.12113599962177649</v>
      </c>
      <c r="E57" s="30">
        <f>K11/E16</f>
        <v>0.16183008330782184</v>
      </c>
      <c r="G57" s="33" t="s">
        <v>70</v>
      </c>
      <c r="H57" s="35">
        <f>H25/$B$5</f>
        <v>0</v>
      </c>
      <c r="I57" s="35">
        <f>I25/$B$5</f>
        <v>0</v>
      </c>
      <c r="J57" s="35">
        <f>J25/$B$5</f>
        <v>0</v>
      </c>
      <c r="K57" s="35">
        <f>K25/$B$5</f>
        <v>0</v>
      </c>
      <c r="M57" s="6"/>
    </row>
    <row r="58" spans="1:26">
      <c r="A58" s="29" t="s">
        <v>71</v>
      </c>
      <c r="B58" s="30">
        <f>B16/B20</f>
        <v>1.4115972885766366</v>
      </c>
      <c r="C58" s="30">
        <f>C16/C20</f>
        <v>1.5017801036868275</v>
      </c>
      <c r="D58" s="30">
        <f>D16/D20</f>
        <v>1.4239738063503404</v>
      </c>
      <c r="E58" s="30">
        <f>E16/E20</f>
        <v>1.3475449225291405</v>
      </c>
      <c r="G58" s="36" t="s">
        <v>72</v>
      </c>
      <c r="H58" s="37">
        <f>H22/$B$7/1000</f>
        <v>0.33255277777777781</v>
      </c>
      <c r="I58" s="37">
        <f>I22/$B$7/1000</f>
        <v>0.53212499999999996</v>
      </c>
      <c r="J58" s="37">
        <f>J22/$B$7/1000</f>
        <v>0.63098333333333334</v>
      </c>
      <c r="K58" s="37">
        <f>K22/$B$7/1000</f>
        <v>0.91531203703703701</v>
      </c>
      <c r="M58" s="6"/>
    </row>
    <row r="59" spans="1:26">
      <c r="G59" s="36" t="s">
        <v>73</v>
      </c>
      <c r="H59" s="37">
        <f>B20/$B$7/1000</f>
        <v>16.598771296296299</v>
      </c>
      <c r="I59" s="37">
        <f>C20/$B$7/1000</f>
        <v>16.266218518518517</v>
      </c>
      <c r="J59" s="37">
        <f>D20/$B$7/1000</f>
        <v>15.734093518518518</v>
      </c>
      <c r="K59" s="37">
        <f>E20/$B$7/1000</f>
        <v>15.103110185185185</v>
      </c>
      <c r="M59" s="6"/>
    </row>
    <row r="60" spans="1:26">
      <c r="G60" s="33" t="s">
        <v>74</v>
      </c>
      <c r="H60" s="38">
        <f>SQRT(10*H58*H59)</f>
        <v>7.4296483781410405</v>
      </c>
      <c r="I60" s="38">
        <f>SQRT(10*I58*I59)</f>
        <v>9.3035807779406436</v>
      </c>
      <c r="J60" s="38">
        <f>SQRT(10*J58*J59)</f>
        <v>9.9639102641950821</v>
      </c>
      <c r="K60" s="38">
        <f>SQRT(10*K58*K59)</f>
        <v>11.757575663884401</v>
      </c>
      <c r="M60" s="6"/>
    </row>
    <row r="61" spans="1:26">
      <c r="G61" s="33" t="s">
        <v>75</v>
      </c>
      <c r="H61" s="39">
        <f>H58-(B20*0.08/1000/$B$7)</f>
        <v>-0.99534892592592616</v>
      </c>
      <c r="I61" s="39">
        <f>I58-(C20*0.08/1000/$B$7)</f>
        <v>-0.76917248148148154</v>
      </c>
      <c r="J61" s="39">
        <f>J58-(D20*0.08/1000/$B$7)</f>
        <v>-0.62774414814814794</v>
      </c>
      <c r="K61" s="39">
        <f>K58-(E20*0.08/1000/$B$7)</f>
        <v>-0.29293677777777771</v>
      </c>
      <c r="M61" s="6"/>
    </row>
    <row r="62" spans="1:26">
      <c r="G62" s="40" t="s">
        <v>76</v>
      </c>
      <c r="H62" s="41">
        <f>H25/$B$7/1000</f>
        <v>0</v>
      </c>
      <c r="I62" s="41">
        <f>I25/$B$7/1000</f>
        <v>0</v>
      </c>
      <c r="J62" s="41">
        <f>J25/$B$7/1000</f>
        <v>0</v>
      </c>
      <c r="K62" s="41">
        <f>K25/$B$7/1000</f>
        <v>0</v>
      </c>
      <c r="M62" s="6"/>
    </row>
    <row r="63" spans="1:26">
      <c r="A63" s="2"/>
      <c r="M63" s="6"/>
    </row>
    <row r="64" spans="1:26">
      <c r="G64" s="2" t="s">
        <v>105</v>
      </c>
      <c r="H64" s="6">
        <f>I51/H51</f>
        <v>0.95616711920391573</v>
      </c>
      <c r="I64" s="6">
        <f>J51/I51</f>
        <v>0.92530054643413007</v>
      </c>
      <c r="J64" s="6">
        <f>K51/J51</f>
        <v>0.99600879831055578</v>
      </c>
      <c r="M64" s="6"/>
    </row>
    <row r="65" spans="7:13">
      <c r="G65" s="2" t="s">
        <v>106</v>
      </c>
      <c r="H65" s="6">
        <f>H11/I11</f>
        <v>0.72359475926519767</v>
      </c>
      <c r="I65" s="6">
        <f>I11/J11</f>
        <v>1.042608270832651</v>
      </c>
      <c r="J65" s="6">
        <f>J11/K11</f>
        <v>0.82403954713314775</v>
      </c>
      <c r="M65" s="6"/>
    </row>
    <row r="66" spans="7:13">
      <c r="G66" s="2" t="s">
        <v>107</v>
      </c>
      <c r="H66" s="6">
        <f>(N13/1948687)/(O13/1747778)</f>
        <v>0.46693595610335664</v>
      </c>
      <c r="I66" s="6">
        <f>(O13/I11)/(P13/J11)</f>
        <v>-2.9360959843229004</v>
      </c>
      <c r="J66" s="6">
        <f>(P13/J11)/(Q13/K11)</f>
        <v>-0.58813869610204639</v>
      </c>
      <c r="M66" s="6"/>
    </row>
    <row r="67" spans="7:13">
      <c r="G67" s="2" t="s">
        <v>108</v>
      </c>
      <c r="H67" s="6">
        <f t="shared" ref="H67:J68" si="6">H52/I52</f>
        <v>1.1886759485609499</v>
      </c>
      <c r="I67" s="6">
        <f t="shared" si="6"/>
        <v>1.5080019371460085</v>
      </c>
      <c r="J67" s="6">
        <f t="shared" si="6"/>
        <v>1.1908952552349785</v>
      </c>
      <c r="M67" s="6"/>
    </row>
    <row r="68" spans="7:13">
      <c r="G68" s="2" t="s">
        <v>109</v>
      </c>
      <c r="H68" s="6">
        <f t="shared" si="6"/>
        <v>1.3452957160964527</v>
      </c>
      <c r="I68" s="6">
        <f t="shared" si="6"/>
        <v>0.88261279178639052</v>
      </c>
      <c r="J68" s="6">
        <f t="shared" si="6"/>
        <v>0.22963083625413958</v>
      </c>
      <c r="M68" s="6"/>
    </row>
    <row r="69" spans="7:13">
      <c r="G69" s="2" t="s">
        <v>110</v>
      </c>
      <c r="H69" s="6">
        <f>B58/C58</f>
        <v>0.93994938747104539</v>
      </c>
      <c r="I69" s="6">
        <f>C58/D58</f>
        <v>1.0546402588232331</v>
      </c>
      <c r="J69" s="6">
        <f>D58/E58</f>
        <v>1.0567171324260971</v>
      </c>
      <c r="M69" s="6"/>
    </row>
    <row r="70" spans="7:13">
      <c r="G70" s="2" t="s">
        <v>111</v>
      </c>
      <c r="H70" s="6">
        <f>((1-B11)/B16)/((1-C11)/C16)</f>
        <v>0.80216336942075905</v>
      </c>
      <c r="I70" s="6">
        <f>((1-C11)/C16)/((1-D11)/D16)</f>
        <v>1.0196098027114808</v>
      </c>
      <c r="J70" s="6">
        <f>((1-D11)/D16)/((1-E11)/E16)</f>
        <v>1.303931138570124</v>
      </c>
      <c r="M70" s="6"/>
    </row>
    <row r="71" spans="7:13">
      <c r="G71" s="2" t="s">
        <v>112</v>
      </c>
      <c r="H71" s="6">
        <f>((H13-H16-H17)-N24)/B16</f>
        <v>1.1228463603372629E-2</v>
      </c>
      <c r="I71" s="6">
        <f>((I13-I16-I17)-O24)/C16</f>
        <v>2.7496550181320634E-2</v>
      </c>
      <c r="J71" s="6">
        <f>((J13-J16-J17)-P24)/D16</f>
        <v>-2.9151974275511036E-4</v>
      </c>
      <c r="K71" s="6">
        <f>((K13-K16-K17)-Q24)/E16</f>
        <v>2.4275022043613714E-2</v>
      </c>
      <c r="M71" s="6"/>
    </row>
    <row r="72" spans="7:13">
      <c r="G72" s="2" t="s">
        <v>113</v>
      </c>
      <c r="H72" s="6">
        <f>-4.84 + 0.92 *H66  + 0.528 *H64 + 0.404 *H70 + 0.892 *H65 + 0.115 *H68 - 0.172 *H67- 0.327 *H69 + 4.697 *H71</f>
        <v>-3.2404087668940824</v>
      </c>
      <c r="I72" s="6">
        <f>-4.84 + 0.92 *I66  + 0.528 *I64 + 0.404 *I70 + 0.892 *I65 + 0.115 *I68 - 0.172 *I67- 0.327 *I69 + 4.697 *I71</f>
        <v>-6.0843126097488973</v>
      </c>
      <c r="J72" s="6">
        <f>-4.84 + 0.92 *J66  + 0.528 *J64 + 0.404 *J70 + 0.892 *J65 + 0.115 *J68 - 0.172 *J67- 0.327 *J69 + 4.697 *J71</f>
        <v>-4.1187057071470567</v>
      </c>
      <c r="M72" s="6"/>
    </row>
    <row r="73" spans="7:13">
      <c r="H73" s="6" t="str">
        <f>IF(H72&gt;-2.22,"CARE","Good")</f>
        <v>Good</v>
      </c>
      <c r="I73" s="6" t="str">
        <f>IF(I72&gt;-2.22,"CARE","Good")</f>
        <v>Good</v>
      </c>
      <c r="J73" s="6" t="str">
        <f>IF(J72&gt;-2.22,"CARE","Good")</f>
        <v>Good</v>
      </c>
      <c r="M73" s="6"/>
    </row>
    <row r="74" spans="7:13">
      <c r="G74" s="2" t="s">
        <v>86</v>
      </c>
      <c r="H74" s="6">
        <f>H59*$B$7/$B$5</f>
        <v>2.8968187253571203</v>
      </c>
      <c r="I74" s="6">
        <f>I59*$B$7/$B$5</f>
        <v>2.8387815913644885</v>
      </c>
      <c r="J74" s="6">
        <f>J59*$B$7/$B$5</f>
        <v>2.7459150992178918</v>
      </c>
      <c r="K74" s="6">
        <f>K59*$B$7/$B$5</f>
        <v>2.6357958438368563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6.3096828092579688E-2</v>
      </c>
      <c r="I77" s="28">
        <f>(I15-I16)/$B$6</f>
        <v>8.9503831358320352E-2</v>
      </c>
      <c r="J77" s="28">
        <f>(J15-J16)/$B$6</f>
        <v>8.3130794596714019E-2</v>
      </c>
      <c r="K77" s="28">
        <f>(K15-K16)/$B$6</f>
        <v>0.10611520424029809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zoomScaleNormal="100" workbookViewId="0"/>
  </sheetViews>
  <sheetFormatPr defaultRowHeight="15"/>
  <cols>
    <col min="1" max="12" width="15.140625"/>
    <col min="13" max="13" width="23.42578125"/>
    <col min="14" max="26" width="15.140625"/>
    <col min="27" max="1025" width="14.42578125"/>
  </cols>
  <sheetData>
    <row r="1" spans="1:17">
      <c r="A1" s="2"/>
      <c r="M1" s="6"/>
    </row>
    <row r="2" spans="1:17">
      <c r="A2" s="2"/>
      <c r="M2" s="6"/>
    </row>
    <row r="3" spans="1:17">
      <c r="A3" s="2"/>
      <c r="M3" s="6"/>
    </row>
    <row r="4" spans="1:17">
      <c r="A4" s="2"/>
      <c r="M4" s="6"/>
    </row>
    <row r="5" spans="1:17">
      <c r="A5" s="2"/>
      <c r="B5" s="72"/>
      <c r="M5" s="6"/>
    </row>
    <row r="6" spans="1:17">
      <c r="A6" s="2"/>
      <c r="M6" s="6"/>
    </row>
    <row r="7" spans="1:17">
      <c r="A7" s="2"/>
      <c r="B7" s="72">
        <v>164.816</v>
      </c>
      <c r="M7" s="6"/>
    </row>
    <row r="8" spans="1:17">
      <c r="M8" s="6"/>
    </row>
    <row r="9" spans="1:17">
      <c r="M9" s="6"/>
    </row>
    <row r="10" spans="1:17">
      <c r="A10" s="20" t="s">
        <v>3</v>
      </c>
      <c r="B10" s="9" t="s">
        <v>114</v>
      </c>
      <c r="C10" s="9" t="s">
        <v>115</v>
      </c>
      <c r="D10" s="9" t="s">
        <v>116</v>
      </c>
      <c r="E10" s="9" t="s">
        <v>117</v>
      </c>
      <c r="G10" s="20" t="s">
        <v>4</v>
      </c>
      <c r="H10" s="9" t="s">
        <v>114</v>
      </c>
      <c r="I10" s="9" t="s">
        <v>115</v>
      </c>
      <c r="J10" s="9" t="s">
        <v>116</v>
      </c>
      <c r="K10" s="9" t="s">
        <v>117</v>
      </c>
      <c r="M10" s="20" t="s">
        <v>96</v>
      </c>
      <c r="N10" s="9">
        <v>42369</v>
      </c>
      <c r="O10" s="9">
        <v>42004</v>
      </c>
      <c r="P10" s="9">
        <v>41639</v>
      </c>
      <c r="Q10" s="9">
        <v>41274</v>
      </c>
    </row>
    <row r="11" spans="1:17">
      <c r="A11" s="23" t="s">
        <v>6</v>
      </c>
      <c r="B11" s="12">
        <v>344068</v>
      </c>
      <c r="C11" s="12">
        <v>378194</v>
      </c>
      <c r="D11" s="12">
        <v>463287</v>
      </c>
      <c r="E11" s="12">
        <v>472888</v>
      </c>
      <c r="G11" s="23" t="s">
        <v>7</v>
      </c>
      <c r="H11" s="12">
        <v>398666</v>
      </c>
      <c r="I11" s="12">
        <v>414893</v>
      </c>
      <c r="J11" s="12">
        <v>414701</v>
      </c>
      <c r="K11" s="12">
        <v>452719</v>
      </c>
      <c r="M11" s="23" t="s">
        <v>8</v>
      </c>
      <c r="N11" s="12">
        <v>188768</v>
      </c>
      <c r="O11" s="12">
        <v>171051</v>
      </c>
      <c r="P11" s="12">
        <v>150207</v>
      </c>
      <c r="Q11" s="12">
        <v>125776</v>
      </c>
    </row>
    <row r="12" spans="1:17">
      <c r="A12" s="23" t="s">
        <v>9</v>
      </c>
      <c r="B12" s="12">
        <v>1525</v>
      </c>
      <c r="C12" s="12">
        <v>1236</v>
      </c>
      <c r="D12" s="12">
        <v>1277</v>
      </c>
      <c r="E12" s="12">
        <v>1081</v>
      </c>
      <c r="G12" s="23" t="s">
        <v>10</v>
      </c>
      <c r="H12" s="12">
        <v>57295</v>
      </c>
      <c r="I12" s="12">
        <v>59570</v>
      </c>
      <c r="J12" s="12">
        <v>57508</v>
      </c>
      <c r="K12" s="12">
        <v>48539</v>
      </c>
      <c r="M12" s="23" t="s">
        <v>11</v>
      </c>
      <c r="N12" s="12">
        <v>502635</v>
      </c>
      <c r="O12" s="12">
        <v>431183</v>
      </c>
      <c r="P12" s="12">
        <v>383614</v>
      </c>
      <c r="Q12" s="12">
        <v>330310</v>
      </c>
    </row>
    <row r="13" spans="1:17">
      <c r="A13" s="23" t="s">
        <v>12</v>
      </c>
      <c r="B13" s="12">
        <v>4819399</v>
      </c>
      <c r="C13" s="12">
        <v>7116591</v>
      </c>
      <c r="D13" s="12">
        <v>4111119</v>
      </c>
      <c r="E13" s="12">
        <v>2732043</v>
      </c>
      <c r="G13" s="23" t="s">
        <v>13</v>
      </c>
      <c r="H13" s="12">
        <v>341371</v>
      </c>
      <c r="I13" s="12">
        <v>355323</v>
      </c>
      <c r="J13" s="12">
        <v>357193</v>
      </c>
      <c r="K13" s="12">
        <v>404180</v>
      </c>
      <c r="M13" s="23" t="s">
        <v>14</v>
      </c>
      <c r="N13" s="14">
        <v>-19448</v>
      </c>
      <c r="O13" s="14">
        <v>-14753</v>
      </c>
      <c r="P13" s="14">
        <v>-16197</v>
      </c>
      <c r="Q13" s="12">
        <v>21890</v>
      </c>
    </row>
    <row r="14" spans="1:17">
      <c r="A14" s="23" t="s">
        <v>15</v>
      </c>
      <c r="B14" s="12">
        <v>1590533</v>
      </c>
      <c r="C14" s="12">
        <v>1600686</v>
      </c>
      <c r="D14" s="12">
        <v>1603572</v>
      </c>
      <c r="E14" s="12">
        <v>1551697</v>
      </c>
      <c r="G14" s="23" t="s">
        <v>16</v>
      </c>
      <c r="H14" s="12">
        <v>656</v>
      </c>
      <c r="I14" s="12">
        <v>24</v>
      </c>
      <c r="J14" s="12">
        <v>2253</v>
      </c>
      <c r="K14" s="12">
        <v>4256</v>
      </c>
      <c r="M14" s="23" t="s">
        <v>9</v>
      </c>
      <c r="N14" s="12">
        <v>644</v>
      </c>
      <c r="O14" s="12">
        <v>473</v>
      </c>
      <c r="P14" s="14">
        <v>-525</v>
      </c>
      <c r="Q14" s="14">
        <v>-122</v>
      </c>
    </row>
    <row r="15" spans="1:17">
      <c r="A15" s="23" t="s">
        <v>17</v>
      </c>
      <c r="B15" s="45">
        <v>0</v>
      </c>
      <c r="C15" s="45">
        <v>0</v>
      </c>
      <c r="D15" s="45"/>
      <c r="E15" s="12">
        <v>70491</v>
      </c>
      <c r="G15" s="23" t="s">
        <v>18</v>
      </c>
      <c r="H15" s="12">
        <v>342027</v>
      </c>
      <c r="I15" s="12">
        <v>355347</v>
      </c>
      <c r="J15" s="12">
        <v>359446</v>
      </c>
      <c r="K15" s="12">
        <v>408436</v>
      </c>
      <c r="M15" s="23" t="s">
        <v>19</v>
      </c>
      <c r="N15" s="12">
        <v>16774</v>
      </c>
      <c r="O15" s="14">
        <v>-13907</v>
      </c>
      <c r="P15" s="12">
        <v>2210</v>
      </c>
      <c r="Q15" s="14">
        <v>-735</v>
      </c>
    </row>
    <row r="16" spans="1:17">
      <c r="A16" s="23" t="s">
        <v>20</v>
      </c>
      <c r="B16" s="12">
        <v>6755525</v>
      </c>
      <c r="C16" s="12">
        <v>9096707</v>
      </c>
      <c r="D16" s="12">
        <v>6179255</v>
      </c>
      <c r="E16" s="12">
        <v>4828200</v>
      </c>
      <c r="G16" s="23" t="s">
        <v>21</v>
      </c>
      <c r="H16" s="12">
        <v>16989</v>
      </c>
      <c r="I16" s="12">
        <v>13195</v>
      </c>
      <c r="J16" s="12">
        <v>18757</v>
      </c>
      <c r="K16" s="12">
        <v>13806</v>
      </c>
      <c r="M16" s="23" t="s">
        <v>22</v>
      </c>
      <c r="N16" s="12">
        <v>11990</v>
      </c>
      <c r="O16" s="14">
        <v>-21084</v>
      </c>
      <c r="P16" s="12">
        <v>4445</v>
      </c>
      <c r="Q16" s="14">
        <v>-39378</v>
      </c>
    </row>
    <row r="17" spans="1:26">
      <c r="A17" s="23" t="s">
        <v>23</v>
      </c>
      <c r="B17" s="12">
        <v>228770</v>
      </c>
      <c r="C17" s="12">
        <v>219817</v>
      </c>
      <c r="D17" s="12">
        <v>217735</v>
      </c>
      <c r="E17" s="12">
        <v>619375</v>
      </c>
      <c r="G17" s="23" t="s">
        <v>11</v>
      </c>
      <c r="H17" s="12">
        <v>308</v>
      </c>
      <c r="I17" s="12">
        <v>331</v>
      </c>
      <c r="J17" s="12">
        <v>366</v>
      </c>
      <c r="K17" s="12">
        <v>2427</v>
      </c>
      <c r="M17" s="23" t="s">
        <v>24</v>
      </c>
      <c r="N17" s="14">
        <v>-93937</v>
      </c>
      <c r="O17" s="14">
        <v>-104574</v>
      </c>
      <c r="P17" s="14">
        <v>-109836</v>
      </c>
      <c r="Q17" s="14">
        <v>-107838</v>
      </c>
    </row>
    <row r="18" spans="1:26">
      <c r="A18" s="23" t="s">
        <v>25</v>
      </c>
      <c r="B18" s="12">
        <v>8786</v>
      </c>
      <c r="C18" s="12">
        <v>8136</v>
      </c>
      <c r="D18" s="12">
        <v>7056</v>
      </c>
      <c r="E18" s="12">
        <v>6829</v>
      </c>
      <c r="G18" s="23" t="s">
        <v>26</v>
      </c>
      <c r="H18" s="12">
        <v>5035</v>
      </c>
      <c r="I18" s="12">
        <v>5035</v>
      </c>
      <c r="J18" s="12">
        <v>5035</v>
      </c>
      <c r="K18" s="12">
        <v>1843</v>
      </c>
      <c r="M18" s="23" t="s">
        <v>27</v>
      </c>
      <c r="N18" s="14">
        <v>-781908</v>
      </c>
      <c r="O18" s="14">
        <v>-764394</v>
      </c>
      <c r="P18" s="14">
        <v>-634883</v>
      </c>
      <c r="Q18" s="14">
        <v>-571347</v>
      </c>
    </row>
    <row r="19" spans="1:26">
      <c r="A19" s="23" t="s">
        <v>28</v>
      </c>
      <c r="B19" s="45">
        <v>0</v>
      </c>
      <c r="C19" s="45">
        <v>0</v>
      </c>
      <c r="D19" s="45"/>
      <c r="E19" s="45">
        <v>0</v>
      </c>
      <c r="G19" s="23" t="s">
        <v>29</v>
      </c>
      <c r="H19" s="12">
        <v>22332</v>
      </c>
      <c r="I19" s="12">
        <v>18561</v>
      </c>
      <c r="J19" s="12">
        <v>24158</v>
      </c>
      <c r="K19" s="12">
        <v>18076</v>
      </c>
      <c r="M19" s="23" t="s">
        <v>30</v>
      </c>
      <c r="N19" s="12">
        <v>275075</v>
      </c>
      <c r="O19" s="12">
        <v>252319</v>
      </c>
      <c r="P19" s="12">
        <v>191461</v>
      </c>
      <c r="Q19" s="12">
        <v>168283</v>
      </c>
    </row>
    <row r="20" spans="1:26">
      <c r="A20" s="23" t="s">
        <v>31</v>
      </c>
      <c r="B20" s="12">
        <v>6517969</v>
      </c>
      <c r="C20" s="12">
        <v>8868754</v>
      </c>
      <c r="D20" s="12">
        <v>5954464</v>
      </c>
      <c r="E20" s="12">
        <v>4201996</v>
      </c>
      <c r="G20" s="23" t="s">
        <v>32</v>
      </c>
      <c r="H20" s="12">
        <v>319695</v>
      </c>
      <c r="I20" s="12">
        <v>336786</v>
      </c>
      <c r="J20" s="12">
        <v>335288</v>
      </c>
      <c r="K20" s="12">
        <v>390360</v>
      </c>
      <c r="M20" s="23" t="s">
        <v>33</v>
      </c>
      <c r="N20" s="14">
        <v>-6509</v>
      </c>
      <c r="O20" s="12">
        <v>143477</v>
      </c>
      <c r="P20" s="12">
        <v>90429</v>
      </c>
      <c r="Q20" s="12">
        <v>109341</v>
      </c>
    </row>
    <row r="21" spans="1:26">
      <c r="A21" s="23" t="s">
        <v>34</v>
      </c>
      <c r="B21" s="17">
        <v>0</v>
      </c>
      <c r="C21" s="17">
        <v>0</v>
      </c>
      <c r="D21" s="45"/>
      <c r="E21" s="17"/>
      <c r="G21" s="23" t="s">
        <v>35</v>
      </c>
      <c r="H21" s="12">
        <v>9048</v>
      </c>
      <c r="I21" s="12">
        <v>9881</v>
      </c>
      <c r="J21" s="12">
        <v>11219</v>
      </c>
      <c r="K21" s="12">
        <v>11303</v>
      </c>
      <c r="M21" s="23" t="s">
        <v>36</v>
      </c>
      <c r="N21" s="14">
        <v>-91774</v>
      </c>
      <c r="O21" s="14">
        <v>-86759</v>
      </c>
      <c r="P21" s="14">
        <v>-51356</v>
      </c>
      <c r="Q21" s="14">
        <v>-45726</v>
      </c>
    </row>
    <row r="22" spans="1:26">
      <c r="A22" s="23" t="s">
        <v>37</v>
      </c>
      <c r="B22" s="12">
        <v>6755525</v>
      </c>
      <c r="C22" s="12">
        <v>9096707</v>
      </c>
      <c r="D22" s="12">
        <v>6179255</v>
      </c>
      <c r="E22" s="12">
        <v>4828200</v>
      </c>
      <c r="G22" s="23" t="s">
        <v>8</v>
      </c>
      <c r="H22" s="12">
        <v>310647</v>
      </c>
      <c r="I22" s="12">
        <v>326905</v>
      </c>
      <c r="J22" s="12">
        <v>324069</v>
      </c>
      <c r="K22" s="12">
        <v>379057</v>
      </c>
      <c r="M22" s="23" t="s">
        <v>38</v>
      </c>
      <c r="N22" s="12">
        <v>19768</v>
      </c>
      <c r="O22" s="12">
        <v>26736</v>
      </c>
      <c r="P22" s="12">
        <v>17167</v>
      </c>
      <c r="Q22" s="12">
        <v>26713</v>
      </c>
    </row>
    <row r="23" spans="1:26">
      <c r="G23" s="23" t="s">
        <v>39</v>
      </c>
      <c r="H23" s="12">
        <v>526080</v>
      </c>
      <c r="I23" s="12">
        <v>513416</v>
      </c>
      <c r="J23" s="12">
        <v>603587</v>
      </c>
      <c r="K23" s="12">
        <v>224530</v>
      </c>
      <c r="M23" s="23" t="s">
        <v>40</v>
      </c>
      <c r="N23" s="12">
        <v>22078</v>
      </c>
      <c r="O23" s="12">
        <v>19768</v>
      </c>
      <c r="P23" s="12">
        <v>26736</v>
      </c>
      <c r="Q23" s="12">
        <v>17167</v>
      </c>
    </row>
    <row r="24" spans="1:26">
      <c r="G24" s="23" t="s">
        <v>41</v>
      </c>
      <c r="H24" s="45">
        <v>0</v>
      </c>
      <c r="I24" s="45">
        <v>0</v>
      </c>
      <c r="J24" s="45"/>
      <c r="K24" s="45">
        <v>0</v>
      </c>
      <c r="M24" s="2" t="s">
        <v>42</v>
      </c>
      <c r="N24" s="12">
        <f>SUM(N11:N17)</f>
        <v>607426</v>
      </c>
      <c r="O24" s="12">
        <f>SUM(O11:O17)</f>
        <v>448389</v>
      </c>
      <c r="P24" s="12">
        <f>SUM(P11:P17)</f>
        <v>413918</v>
      </c>
      <c r="Q24" s="12">
        <f>SUM(Q11:Q17)</f>
        <v>329903</v>
      </c>
    </row>
    <row r="25" spans="1:26">
      <c r="G25" s="23" t="s">
        <v>43</v>
      </c>
      <c r="H25" s="12">
        <v>412040</v>
      </c>
      <c r="I25" s="12">
        <v>412040</v>
      </c>
      <c r="J25" s="12">
        <v>412040</v>
      </c>
      <c r="K25" s="12">
        <v>412040</v>
      </c>
      <c r="M25" s="2" t="s">
        <v>44</v>
      </c>
      <c r="N25" s="12">
        <f>N18+N19</f>
        <v>-506833</v>
      </c>
      <c r="O25" s="12">
        <f>O18+O19</f>
        <v>-512075</v>
      </c>
      <c r="P25" s="12">
        <f>P18+P19</f>
        <v>-443422</v>
      </c>
      <c r="Q25" s="12">
        <f>Q18+Q19</f>
        <v>-403064</v>
      </c>
    </row>
    <row r="26" spans="1:26">
      <c r="G26" s="23" t="s">
        <v>45</v>
      </c>
      <c r="H26" s="12">
        <v>2200</v>
      </c>
      <c r="I26" s="12">
        <v>2200</v>
      </c>
      <c r="J26" s="12">
        <v>2200</v>
      </c>
      <c r="K26" s="12">
        <v>2200</v>
      </c>
      <c r="M26" s="2" t="s">
        <v>46</v>
      </c>
      <c r="N26" s="12">
        <f>N20+N21</f>
        <v>-98283</v>
      </c>
      <c r="O26" s="12">
        <f>O20+O21</f>
        <v>56718</v>
      </c>
      <c r="P26" s="12">
        <f>P20+P21</f>
        <v>39073</v>
      </c>
      <c r="Q26" s="12">
        <f>Q20+Q21</f>
        <v>63615</v>
      </c>
    </row>
    <row r="27" spans="1:26">
      <c r="G27" s="23" t="s">
        <v>47</v>
      </c>
      <c r="H27" s="12">
        <v>422487</v>
      </c>
      <c r="I27" s="12">
        <v>426081</v>
      </c>
      <c r="J27" s="12">
        <v>513416</v>
      </c>
      <c r="K27" s="12">
        <v>189347</v>
      </c>
      <c r="M27" s="2" t="s">
        <v>48</v>
      </c>
      <c r="N27" s="12">
        <f>N24+N25+N26</f>
        <v>2310</v>
      </c>
      <c r="O27" s="12">
        <f>O24+O25+O26</f>
        <v>-6968</v>
      </c>
      <c r="P27" s="12">
        <f>P24+P25+P26</f>
        <v>9569</v>
      </c>
      <c r="Q27" s="12">
        <f>Q24+Q25+Q26</f>
        <v>-9546</v>
      </c>
    </row>
    <row r="28" spans="1:26">
      <c r="M28" s="2" t="s">
        <v>118</v>
      </c>
      <c r="N28" s="12">
        <f>N24+N18</f>
        <v>-174482</v>
      </c>
      <c r="O28" s="12">
        <f>O24+O18</f>
        <v>-316005</v>
      </c>
      <c r="P28" s="12">
        <f>P24+P18</f>
        <v>-220965</v>
      </c>
      <c r="Q28" s="12">
        <f>Q24+Q18</f>
        <v>-241444</v>
      </c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5.0931348784883486E-2</v>
      </c>
      <c r="C30" s="24">
        <f t="shared" si="0"/>
        <v>4.1574824823972012E-2</v>
      </c>
      <c r="D30" s="24">
        <f t="shared" si="0"/>
        <v>7.4974572177390314E-2</v>
      </c>
      <c r="E30" s="24">
        <f t="shared" si="0"/>
        <v>9.7942918686052774E-2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0.47349911956374507</v>
      </c>
      <c r="O30" s="26">
        <f t="shared" ref="O30:O42" si="3">O11/I$11</f>
        <v>0.41227738236123529</v>
      </c>
      <c r="P30" s="26">
        <f t="shared" ref="P30:P42" si="4">P11/J$11</f>
        <v>0.36220554085955908</v>
      </c>
      <c r="Q30" s="26">
        <f t="shared" ref="Q30:Q42" si="5">Q11/K$11</f>
        <v>0.27782355059098468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2.2574115261212119E-4</v>
      </c>
      <c r="C31" s="24">
        <f t="shared" si="0"/>
        <v>1.3587334405736054E-4</v>
      </c>
      <c r="D31" s="24">
        <f t="shared" si="0"/>
        <v>2.066592170091702E-4</v>
      </c>
      <c r="E31" s="24">
        <f t="shared" si="0"/>
        <v>2.2389296218052276E-4</v>
      </c>
      <c r="F31" s="6"/>
      <c r="G31" s="25" t="s">
        <v>10</v>
      </c>
      <c r="H31" s="24">
        <f t="shared" si="1"/>
        <v>0.14371679551303598</v>
      </c>
      <c r="I31" s="24">
        <f t="shared" si="1"/>
        <v>0.14357918788699736</v>
      </c>
      <c r="J31" s="24">
        <f t="shared" si="1"/>
        <v>0.1386734056585347</v>
      </c>
      <c r="K31" s="24">
        <f t="shared" si="1"/>
        <v>0.10721661781369901</v>
      </c>
      <c r="L31" s="6"/>
      <c r="M31" s="25" t="s">
        <v>11</v>
      </c>
      <c r="N31" s="26">
        <f t="shared" si="2"/>
        <v>1.2607922421274953</v>
      </c>
      <c r="O31" s="26">
        <f t="shared" si="3"/>
        <v>1.0392631353144064</v>
      </c>
      <c r="P31" s="26">
        <f t="shared" si="4"/>
        <v>0.92503755717975122</v>
      </c>
      <c r="Q31" s="26">
        <f t="shared" si="5"/>
        <v>0.72961373390557938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0.71340110502144538</v>
      </c>
      <c r="C32" s="24">
        <f t="shared" si="0"/>
        <v>0.7823260659049478</v>
      </c>
      <c r="D32" s="24">
        <f t="shared" si="0"/>
        <v>0.66530981485632168</v>
      </c>
      <c r="E32" s="24">
        <f t="shared" si="0"/>
        <v>0.56585124891263827</v>
      </c>
      <c r="F32" s="6"/>
      <c r="G32" s="25" t="s">
        <v>13</v>
      </c>
      <c r="H32" s="24">
        <f t="shared" si="1"/>
        <v>0.85628320448696404</v>
      </c>
      <c r="I32" s="24">
        <f t="shared" si="1"/>
        <v>0.85642081211300258</v>
      </c>
      <c r="J32" s="24">
        <f t="shared" si="1"/>
        <v>0.8613265943414653</v>
      </c>
      <c r="K32" s="24">
        <f t="shared" si="1"/>
        <v>0.89278338218630104</v>
      </c>
      <c r="L32" s="6"/>
      <c r="M32" s="25" t="s">
        <v>14</v>
      </c>
      <c r="N32" s="26">
        <f t="shared" si="2"/>
        <v>-4.8782690272057311E-2</v>
      </c>
      <c r="O32" s="26">
        <f t="shared" si="3"/>
        <v>-3.555856570248233E-2</v>
      </c>
      <c r="P32" s="26">
        <f t="shared" si="4"/>
        <v>-3.9057055565335022E-2</v>
      </c>
      <c r="Q32" s="26">
        <f t="shared" si="5"/>
        <v>4.8352289168336206E-2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0.23544180504105899</v>
      </c>
      <c r="C33" s="24">
        <f t="shared" si="0"/>
        <v>0.17596323592702282</v>
      </c>
      <c r="D33" s="24">
        <f t="shared" si="0"/>
        <v>0.25950895374927885</v>
      </c>
      <c r="E33" s="24">
        <f t="shared" si="0"/>
        <v>0.32138208856302558</v>
      </c>
      <c r="F33" s="6"/>
      <c r="G33" s="25" t="s">
        <v>16</v>
      </c>
      <c r="H33" s="24">
        <f t="shared" si="1"/>
        <v>1.6454877014844506E-3</v>
      </c>
      <c r="I33" s="24">
        <f t="shared" si="1"/>
        <v>5.7846239873895196E-5</v>
      </c>
      <c r="J33" s="24">
        <f t="shared" si="1"/>
        <v>5.4328299184231528E-3</v>
      </c>
      <c r="K33" s="24">
        <f t="shared" si="1"/>
        <v>9.400974997735902E-3</v>
      </c>
      <c r="L33" s="6"/>
      <c r="M33" s="25" t="s">
        <v>9</v>
      </c>
      <c r="N33" s="26">
        <f t="shared" si="2"/>
        <v>1.6153873167011985E-3</v>
      </c>
      <c r="O33" s="26">
        <f t="shared" si="3"/>
        <v>1.1400529775146846E-3</v>
      </c>
      <c r="P33" s="26">
        <f t="shared" si="4"/>
        <v>-1.2659723511638506E-3</v>
      </c>
      <c r="Q33" s="26">
        <f t="shared" si="5"/>
        <v>-2.6948283593133932E-4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0</v>
      </c>
      <c r="E34" s="24">
        <f t="shared" si="0"/>
        <v>1.4599850876102896E-2</v>
      </c>
      <c r="F34" s="6"/>
      <c r="G34" s="25" t="s">
        <v>18</v>
      </c>
      <c r="H34" s="24">
        <f t="shared" si="1"/>
        <v>0.85792869218844847</v>
      </c>
      <c r="I34" s="24">
        <f t="shared" si="1"/>
        <v>0.85647865835287651</v>
      </c>
      <c r="J34" s="24">
        <f t="shared" si="1"/>
        <v>0.8667594242598885</v>
      </c>
      <c r="K34" s="24">
        <f t="shared" si="1"/>
        <v>0.90218435718403689</v>
      </c>
      <c r="L34" s="6"/>
      <c r="M34" s="25" t="s">
        <v>19</v>
      </c>
      <c r="N34" s="26">
        <f t="shared" si="2"/>
        <v>4.2075321196189293E-2</v>
      </c>
      <c r="O34" s="26">
        <f t="shared" si="3"/>
        <v>-3.3519485746927521E-2</v>
      </c>
      <c r="P34" s="26">
        <f t="shared" si="4"/>
        <v>5.3291407544230661E-3</v>
      </c>
      <c r="Q34" s="26">
        <f t="shared" si="5"/>
        <v>-1.6235236427011015E-3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4.2614619756889224E-2</v>
      </c>
      <c r="I35" s="24">
        <f t="shared" si="1"/>
        <v>3.1803380630668628E-2</v>
      </c>
      <c r="J35" s="24">
        <f t="shared" si="1"/>
        <v>4.5230177887200657E-2</v>
      </c>
      <c r="K35" s="24">
        <f t="shared" si="1"/>
        <v>3.0495737974328446E-2</v>
      </c>
      <c r="L35" s="6"/>
      <c r="M35" s="25" t="s">
        <v>22</v>
      </c>
      <c r="N35" s="26">
        <f t="shared" si="2"/>
        <v>3.0075301129266103E-2</v>
      </c>
      <c r="O35" s="26">
        <f t="shared" si="3"/>
        <v>-5.0817921729216932E-2</v>
      </c>
      <c r="P35" s="26">
        <f t="shared" si="4"/>
        <v>1.0718565906520601E-2</v>
      </c>
      <c r="Q35" s="26">
        <f t="shared" si="5"/>
        <v>-8.6981107486100648E-2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3.3864133431524564E-2</v>
      </c>
      <c r="C36" s="24">
        <f t="shared" si="0"/>
        <v>2.4164458633217492E-2</v>
      </c>
      <c r="D36" s="24">
        <f t="shared" si="0"/>
        <v>3.5236448406806321E-2</v>
      </c>
      <c r="E36" s="24">
        <f t="shared" si="0"/>
        <v>0.12828279690153679</v>
      </c>
      <c r="F36" s="6"/>
      <c r="G36" s="25" t="s">
        <v>11</v>
      </c>
      <c r="H36" s="24">
        <f t="shared" si="1"/>
        <v>7.7257654277013837E-4</v>
      </c>
      <c r="I36" s="24">
        <f t="shared" si="1"/>
        <v>7.9779605826080463E-4</v>
      </c>
      <c r="J36" s="24">
        <f t="shared" si="1"/>
        <v>8.8256358195422727E-4</v>
      </c>
      <c r="K36" s="24">
        <f t="shared" si="1"/>
        <v>5.3609413344701679E-3</v>
      </c>
      <c r="L36" s="6"/>
      <c r="M36" s="25" t="s">
        <v>24</v>
      </c>
      <c r="N36" s="26">
        <f t="shared" si="2"/>
        <v>-0.23562832044869642</v>
      </c>
      <c r="O36" s="26">
        <f t="shared" si="3"/>
        <v>-0.25205052869052985</v>
      </c>
      <c r="P36" s="26">
        <f t="shared" si="4"/>
        <v>-0.26485588411891942</v>
      </c>
      <c r="Q36" s="26">
        <f t="shared" si="5"/>
        <v>-0.23820073820626039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1.300565093016457E-3</v>
      </c>
      <c r="C37" s="24">
        <f t="shared" si="0"/>
        <v>8.9438958515427615E-4</v>
      </c>
      <c r="D37" s="24">
        <f t="shared" si="0"/>
        <v>1.1418852272644519E-3</v>
      </c>
      <c r="E37" s="24">
        <f t="shared" si="0"/>
        <v>1.4143987407315357E-3</v>
      </c>
      <c r="F37" s="6"/>
      <c r="G37" s="25" t="s">
        <v>26</v>
      </c>
      <c r="H37" s="24">
        <f t="shared" si="1"/>
        <v>1.2629619781972879E-2</v>
      </c>
      <c r="I37" s="24">
        <f t="shared" si="1"/>
        <v>1.2135659073544263E-2</v>
      </c>
      <c r="J37" s="24">
        <f t="shared" si="1"/>
        <v>1.2141277691638072E-2</v>
      </c>
      <c r="K37" s="24">
        <f t="shared" si="1"/>
        <v>4.0709579231267079E-3</v>
      </c>
      <c r="L37" s="6"/>
      <c r="M37" s="25" t="s">
        <v>27</v>
      </c>
      <c r="N37" s="26">
        <f t="shared" si="2"/>
        <v>-1.9613109720919266</v>
      </c>
      <c r="O37" s="26">
        <f t="shared" si="3"/>
        <v>-1.8423882784235937</v>
      </c>
      <c r="P37" s="26">
        <f t="shared" si="4"/>
        <v>-1.5309415699503981</v>
      </c>
      <c r="Q37" s="26">
        <f t="shared" si="5"/>
        <v>-1.2620345070562535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5.6016816081632247E-2</v>
      </c>
      <c r="I38" s="24">
        <f t="shared" si="1"/>
        <v>4.4736835762473698E-2</v>
      </c>
      <c r="J38" s="24">
        <f t="shared" si="1"/>
        <v>5.8254019160792959E-2</v>
      </c>
      <c r="K38" s="24">
        <f t="shared" si="1"/>
        <v>3.9927637231925321E-2</v>
      </c>
      <c r="L38" s="6"/>
      <c r="M38" s="25" t="s">
        <v>30</v>
      </c>
      <c r="N38" s="26">
        <f t="shared" si="2"/>
        <v>0.6899886120210903</v>
      </c>
      <c r="O38" s="26">
        <f t="shared" si="3"/>
        <v>0.60815439161422347</v>
      </c>
      <c r="P38" s="26">
        <f t="shared" si="4"/>
        <v>0.46168444252606095</v>
      </c>
      <c r="Q38" s="26">
        <f t="shared" si="5"/>
        <v>0.37171623015601291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0.96483530147545893</v>
      </c>
      <c r="C39" s="24">
        <f t="shared" si="0"/>
        <v>0.97494115178162821</v>
      </c>
      <c r="D39" s="24">
        <f t="shared" si="0"/>
        <v>0.96362166636592927</v>
      </c>
      <c r="E39" s="24">
        <f t="shared" si="0"/>
        <v>0.87030280435773166</v>
      </c>
      <c r="F39" s="6"/>
      <c r="G39" s="25" t="s">
        <v>32</v>
      </c>
      <c r="H39" s="24">
        <f t="shared" si="1"/>
        <v>0.80191187610681625</v>
      </c>
      <c r="I39" s="24">
        <f t="shared" si="1"/>
        <v>0.81174182259040284</v>
      </c>
      <c r="J39" s="24">
        <f t="shared" si="1"/>
        <v>0.80850540509909552</v>
      </c>
      <c r="K39" s="24">
        <f t="shared" si="1"/>
        <v>0.86225671995211162</v>
      </c>
      <c r="L39" s="6"/>
      <c r="M39" s="25" t="s">
        <v>33</v>
      </c>
      <c r="N39" s="26">
        <f t="shared" si="2"/>
        <v>-1.6326950379515686E-2</v>
      </c>
      <c r="O39" s="26">
        <f t="shared" si="3"/>
        <v>0.34581687326611921</v>
      </c>
      <c r="P39" s="26">
        <f t="shared" si="4"/>
        <v>0.21805831189218255</v>
      </c>
      <c r="Q39" s="26">
        <f t="shared" si="5"/>
        <v>0.24152067838990632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2.2695690126572118E-2</v>
      </c>
      <c r="I40" s="24">
        <f t="shared" si="1"/>
        <v>2.38157790080816E-2</v>
      </c>
      <c r="J40" s="24">
        <f t="shared" si="1"/>
        <v>2.7053226300394743E-2</v>
      </c>
      <c r="K40" s="24">
        <f t="shared" si="1"/>
        <v>2.4966922086327281E-2</v>
      </c>
      <c r="L40" s="6"/>
      <c r="M40" s="25" t="s">
        <v>36</v>
      </c>
      <c r="N40" s="26">
        <f t="shared" si="2"/>
        <v>-0.23020272609151521</v>
      </c>
      <c r="O40" s="26">
        <f t="shared" si="3"/>
        <v>-0.20911174688413639</v>
      </c>
      <c r="P40" s="26">
        <f t="shared" si="4"/>
        <v>-0.12383862107880135</v>
      </c>
      <c r="Q40" s="26">
        <f t="shared" si="5"/>
        <v>-0.10100305045734771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0.77921618598024411</v>
      </c>
      <c r="I41" s="24">
        <f t="shared" si="1"/>
        <v>0.78792604358232121</v>
      </c>
      <c r="J41" s="24">
        <f t="shared" si="1"/>
        <v>0.78145217879870077</v>
      </c>
      <c r="K41" s="24">
        <f t="shared" si="1"/>
        <v>0.83728979786578428</v>
      </c>
      <c r="L41" s="6"/>
      <c r="M41" s="25" t="s">
        <v>38</v>
      </c>
      <c r="N41" s="26">
        <f t="shared" si="2"/>
        <v>4.9585367199610701E-2</v>
      </c>
      <c r="O41" s="26">
        <f t="shared" si="3"/>
        <v>6.4440711219519248E-2</v>
      </c>
      <c r="P41" s="26">
        <f t="shared" si="4"/>
        <v>4.1396090195104422E-2</v>
      </c>
      <c r="Q41" s="26">
        <f t="shared" si="5"/>
        <v>5.9005696690441534E-2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1.3196008688977741</v>
      </c>
      <c r="I42" s="24">
        <f t="shared" si="1"/>
        <v>1.2374660454623241</v>
      </c>
      <c r="J42" s="24">
        <f t="shared" si="1"/>
        <v>1.4554751495655907</v>
      </c>
      <c r="K42" s="24">
        <f t="shared" si="1"/>
        <v>0.49595886189888211</v>
      </c>
      <c r="L42" s="6"/>
      <c r="M42" s="25" t="s">
        <v>40</v>
      </c>
      <c r="N42" s="26">
        <f t="shared" si="2"/>
        <v>5.5379691270386742E-2</v>
      </c>
      <c r="O42" s="26">
        <f t="shared" si="3"/>
        <v>4.7646019576131675E-2</v>
      </c>
      <c r="P42" s="26">
        <f t="shared" si="4"/>
        <v>6.4470546248984212E-2</v>
      </c>
      <c r="Q42" s="26">
        <f t="shared" si="5"/>
        <v>3.7919769216666406E-2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0</v>
      </c>
      <c r="K43" s="24">
        <f t="shared" si="1"/>
        <v>0</v>
      </c>
      <c r="L43" s="6"/>
      <c r="M43" s="2" t="s">
        <v>49</v>
      </c>
      <c r="N43" s="26">
        <f>N24/H11</f>
        <v>1.5236463606126431</v>
      </c>
      <c r="O43" s="26">
        <f>O24/I11</f>
        <v>1.0807340687839997</v>
      </c>
      <c r="P43" s="26">
        <f>P24/J11</f>
        <v>0.99811189266483558</v>
      </c>
      <c r="Q43" s="26">
        <f>Q24/K11</f>
        <v>0.72871472149390681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1.0335468788409345</v>
      </c>
      <c r="I44" s="24">
        <f t="shared" si="1"/>
        <v>0.99312352823499073</v>
      </c>
      <c r="J44" s="24">
        <f t="shared" si="1"/>
        <v>0.99358332871152955</v>
      </c>
      <c r="K44" s="24">
        <f t="shared" si="1"/>
        <v>0.9101451452225332</v>
      </c>
      <c r="L44" s="6"/>
      <c r="M44" s="2" t="s">
        <v>50</v>
      </c>
      <c r="N44" s="26">
        <f>N24/B16</f>
        <v>8.9915439584636284E-2</v>
      </c>
      <c r="O44" s="26">
        <f>O24/C16</f>
        <v>4.9291353453507956E-2</v>
      </c>
      <c r="P44" s="26">
        <f>P24/D16</f>
        <v>6.6985097718090608E-2</v>
      </c>
      <c r="Q44" s="26">
        <f>Q24/E16</f>
        <v>6.8328362536763179E-2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5.5184038769295601E-3</v>
      </c>
      <c r="I45" s="24">
        <f t="shared" si="1"/>
        <v>5.3025719884403928E-3</v>
      </c>
      <c r="J45" s="24">
        <f t="shared" si="1"/>
        <v>5.305026995353279E-3</v>
      </c>
      <c r="K45" s="24">
        <f t="shared" si="1"/>
        <v>4.8595265495815282E-3</v>
      </c>
      <c r="L45" s="6"/>
      <c r="M45" s="2" t="s">
        <v>51</v>
      </c>
      <c r="N45" s="26">
        <f>N24/B20</f>
        <v>9.3192526690446059E-2</v>
      </c>
      <c r="O45" s="26">
        <f>O24/C20</f>
        <v>5.0558285865184668E-2</v>
      </c>
      <c r="P45" s="26">
        <f>P24/D20</f>
        <v>6.9513897472551683E-2</v>
      </c>
      <c r="Q45" s="26">
        <f>Q24/E20</f>
        <v>7.8511021904828088E-2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1.0597517721601541</v>
      </c>
      <c r="I46" s="24">
        <f t="shared" si="1"/>
        <v>1.0269659888212141</v>
      </c>
      <c r="J46" s="24">
        <f t="shared" si="1"/>
        <v>1.2380389726574086</v>
      </c>
      <c r="K46" s="24">
        <f t="shared" si="1"/>
        <v>0.41824398799255169</v>
      </c>
      <c r="L46" s="6"/>
      <c r="M46" s="2" t="s">
        <v>52</v>
      </c>
      <c r="N46" s="26">
        <f>N24/H22</f>
        <v>1.9553576889524122</v>
      </c>
      <c r="O46" s="26">
        <f>O24/I22</f>
        <v>1.371618665973295</v>
      </c>
      <c r="P46" s="26">
        <f>P24/J22</f>
        <v>1.2772526838420213</v>
      </c>
      <c r="Q46" s="26">
        <f>Q24/K22</f>
        <v>0.87032557108825326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2.5569802488676356</v>
      </c>
      <c r="O47" s="26">
        <f>O24/(C22-C20)</f>
        <v>1.9670239040503963</v>
      </c>
      <c r="P47" s="26">
        <f>P24/(D22-D20)</f>
        <v>1.841345961359663</v>
      </c>
      <c r="Q47" s="26">
        <f>Q24/(E22-E20)</f>
        <v>0.52682991485202901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1.4741918260363072</v>
      </c>
      <c r="O48" s="26">
        <f>O24/I25</f>
        <v>1.088217163382196</v>
      </c>
      <c r="P48" s="26">
        <f>P24/J25</f>
        <v>1.0045578099213668</v>
      </c>
      <c r="Q48" s="26">
        <f>Q24/K25</f>
        <v>0.8006577031356179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0.7768509850263714</v>
      </c>
      <c r="O49" s="26">
        <f>O24/(O18*-1)</f>
        <v>0.58659408629581078</v>
      </c>
      <c r="P49" s="26">
        <f>P24/(P18*-1)</f>
        <v>0.65195949489906013</v>
      </c>
      <c r="Q49" s="26">
        <f>Q24/(Q18*-1)</f>
        <v>0.57741267565945043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-4.0057372553849301E-2</v>
      </c>
      <c r="I50" s="28">
        <f>LN(I13/J13)</f>
        <v>-5.2490169864142198E-3</v>
      </c>
      <c r="J50" s="28">
        <f>LN(J13/K13)</f>
        <v>-0.12358407134428112</v>
      </c>
      <c r="M50" s="2"/>
      <c r="N50" s="12"/>
      <c r="O50" s="12"/>
    </row>
    <row r="51" spans="1:26">
      <c r="A51" s="29" t="s">
        <v>57</v>
      </c>
      <c r="B51" s="30">
        <f>B11/B17</f>
        <v>1.503990907898763</v>
      </c>
      <c r="C51" s="30">
        <f>C11/C17</f>
        <v>1.7204947751993704</v>
      </c>
      <c r="D51" s="30">
        <f>D11/D17</f>
        <v>2.1277562174202584</v>
      </c>
      <c r="E51" s="30">
        <f>E11/E17</f>
        <v>0.76349223007063571</v>
      </c>
      <c r="G51" s="29" t="s">
        <v>58</v>
      </c>
      <c r="H51" s="31">
        <f>H13/H11</f>
        <v>0.85628320448696404</v>
      </c>
      <c r="I51" s="31">
        <f>I13/I11</f>
        <v>0.85642081211300258</v>
      </c>
      <c r="J51" s="31">
        <f>J13/J11</f>
        <v>0.8613265943414653</v>
      </c>
      <c r="K51" s="31">
        <f>K13/K11</f>
        <v>0.89278338218630104</v>
      </c>
      <c r="M51" s="2" t="s">
        <v>59</v>
      </c>
      <c r="N51" s="32">
        <f>(N11-N24-N25)/B16</f>
        <v>1.3052279430540187E-2</v>
      </c>
      <c r="O51" s="32">
        <f>(O11-O24-O25)/C16</f>
        <v>2.5804612592227057E-2</v>
      </c>
      <c r="P51" s="32">
        <f>(P11-P24-P25)/D16</f>
        <v>2.9082955793214554E-2</v>
      </c>
      <c r="Q51" s="32">
        <f>(Q11-Q24-Q25)/E16</f>
        <v>4.1203139886500144E-2</v>
      </c>
    </row>
    <row r="52" spans="1:26">
      <c r="A52" s="29" t="s">
        <v>60</v>
      </c>
      <c r="B52" s="31">
        <f>H20/B16</f>
        <v>4.732348707169317E-2</v>
      </c>
      <c r="C52" s="31">
        <f>I20/C16</f>
        <v>3.702284793827041E-2</v>
      </c>
      <c r="D52" s="31">
        <f>J20/D16</f>
        <v>5.426026276630435E-2</v>
      </c>
      <c r="E52" s="31">
        <f>K20/E16</f>
        <v>8.0850006213495709E-2</v>
      </c>
      <c r="F52" s="31"/>
      <c r="G52" s="29" t="s">
        <v>61</v>
      </c>
      <c r="H52" s="31">
        <f>H16/H11</f>
        <v>4.2614619756889224E-2</v>
      </c>
      <c r="I52" s="31">
        <f>I16/I11</f>
        <v>3.1803380630668628E-2</v>
      </c>
      <c r="J52" s="31">
        <f>J16/J11</f>
        <v>4.5230177887200657E-2</v>
      </c>
      <c r="K52" s="31">
        <f>K16/K11</f>
        <v>3.0495737974328446E-2</v>
      </c>
      <c r="M52" s="6"/>
    </row>
    <row r="53" spans="1:26">
      <c r="A53" s="29" t="s">
        <v>62</v>
      </c>
      <c r="B53" s="31">
        <f>H20/B20</f>
        <v>4.9048254141742617E-2</v>
      </c>
      <c r="C53" s="31">
        <f>I20/C20</f>
        <v>3.7974443760645522E-2</v>
      </c>
      <c r="D53" s="31">
        <f>J20/D20</f>
        <v>5.6308678665283725E-2</v>
      </c>
      <c r="E53" s="31">
        <f>K20/E20</f>
        <v>9.2898708137751682E-2</v>
      </c>
      <c r="G53" s="29" t="s">
        <v>11</v>
      </c>
      <c r="H53" s="31">
        <f>H17/H11</f>
        <v>7.7257654277013837E-4</v>
      </c>
      <c r="I53" s="31">
        <f>I17/I11</f>
        <v>7.9779605826080463E-4</v>
      </c>
      <c r="J53" s="31">
        <f>J17/J11</f>
        <v>8.8256358195422727E-4</v>
      </c>
      <c r="K53" s="31">
        <f>K17/K11</f>
        <v>5.3609413344701679E-3</v>
      </c>
      <c r="M53" s="6"/>
    </row>
    <row r="54" spans="1:26">
      <c r="A54" s="29" t="s">
        <v>63</v>
      </c>
      <c r="B54" s="30">
        <f>H11/B12</f>
        <v>261.42032786885244</v>
      </c>
      <c r="C54" s="30">
        <f>I11/C12</f>
        <v>335.67394822006474</v>
      </c>
      <c r="D54" s="30">
        <f>J11/D12</f>
        <v>324.74628034455753</v>
      </c>
      <c r="E54" s="30">
        <f>K11/E12</f>
        <v>418.79648473635524</v>
      </c>
      <c r="G54" s="29" t="s">
        <v>64</v>
      </c>
      <c r="H54" s="31">
        <f>H25/H22</f>
        <v>1.3263929798130998</v>
      </c>
      <c r="I54" s="31">
        <f>I25/I22</f>
        <v>1.2604273412765177</v>
      </c>
      <c r="J54" s="31">
        <f>J25/J22</f>
        <v>1.2714576216793336</v>
      </c>
      <c r="K54" s="31">
        <f>K25/K22</f>
        <v>1.0870132987914747</v>
      </c>
      <c r="M54" s="6"/>
    </row>
    <row r="55" spans="1:26">
      <c r="A55" s="29" t="s">
        <v>65</v>
      </c>
      <c r="B55" s="31">
        <f>(B22-B20)/B16</f>
        <v>3.5164698524541023E-2</v>
      </c>
      <c r="C55" s="31">
        <f>(C22-C20)/C16</f>
        <v>2.505884821837177E-2</v>
      </c>
      <c r="D55" s="31">
        <f>(D22-D20)/D16</f>
        <v>3.6378333634070774E-2</v>
      </c>
      <c r="E55" s="31">
        <f>(E22-E20)/E16</f>
        <v>0.12969719564226834</v>
      </c>
      <c r="G55" s="29" t="s">
        <v>66</v>
      </c>
      <c r="H55" s="31">
        <f>H22/H11</f>
        <v>0.77921618598024411</v>
      </c>
      <c r="I55" s="31">
        <f>I22/I11</f>
        <v>0.78792604358232121</v>
      </c>
      <c r="J55" s="31">
        <f>J22/J11</f>
        <v>0.78145217879870077</v>
      </c>
      <c r="K55" s="31">
        <f>K22/K11</f>
        <v>0.83728979786578428</v>
      </c>
      <c r="L55" s="31"/>
      <c r="M55" s="6"/>
    </row>
    <row r="56" spans="1:26">
      <c r="A56" s="29" t="s">
        <v>67</v>
      </c>
      <c r="B56" s="31">
        <f>(B22-B20)/B20</f>
        <v>3.6446322466400193E-2</v>
      </c>
      <c r="C56" s="31">
        <f>(C22-C20)/C20</f>
        <v>2.5702934143849294E-2</v>
      </c>
      <c r="D56" s="31">
        <f>(D22-D20)/D20</f>
        <v>3.7751676725226654E-2</v>
      </c>
      <c r="E56" s="31">
        <f>(E22-E20)/E20</f>
        <v>0.14902536794418653</v>
      </c>
      <c r="G56" s="33" t="s">
        <v>68</v>
      </c>
      <c r="H56" s="34">
        <f>H13/B16</f>
        <v>5.0532120005477001E-2</v>
      </c>
      <c r="I56" s="34">
        <f>I13/C16</f>
        <v>3.9060618309460775E-2</v>
      </c>
      <c r="J56" s="34">
        <f>J13/D16</f>
        <v>5.7805188489550928E-2</v>
      </c>
      <c r="K56" s="34">
        <f>K13/E16</f>
        <v>8.3712356571807298E-2</v>
      </c>
      <c r="M56" s="6"/>
    </row>
    <row r="57" spans="1:26">
      <c r="A57" s="29" t="s">
        <v>69</v>
      </c>
      <c r="B57" s="30">
        <f>H11/B16</f>
        <v>5.901332612935338E-2</v>
      </c>
      <c r="C57" s="30">
        <f>I11/C16</f>
        <v>4.5609141857597478E-2</v>
      </c>
      <c r="D57" s="30">
        <f>J11/D16</f>
        <v>6.7111812022646739E-2</v>
      </c>
      <c r="E57" s="30">
        <f>K11/E16</f>
        <v>9.3765585518412659E-2</v>
      </c>
      <c r="G57" s="33" t="s">
        <v>70</v>
      </c>
      <c r="H57" s="35" t="e">
        <f>H25/$B$5</f>
        <v>#DIV/0!</v>
      </c>
      <c r="I57" s="35" t="e">
        <f>I25/$B$5</f>
        <v>#DIV/0!</v>
      </c>
      <c r="J57" s="35" t="e">
        <f>J25/$B$5</f>
        <v>#DIV/0!</v>
      </c>
      <c r="K57" s="35" t="e">
        <f>K25/$B$5</f>
        <v>#DIV/0!</v>
      </c>
      <c r="M57" s="6"/>
    </row>
    <row r="58" spans="1:26">
      <c r="A58" s="29" t="s">
        <v>71</v>
      </c>
      <c r="B58" s="30">
        <f>B16/B20</f>
        <v>1.0364463224664002</v>
      </c>
      <c r="C58" s="30">
        <f>C16/C20</f>
        <v>1.0257029341438493</v>
      </c>
      <c r="D58" s="30">
        <f>D16/D20</f>
        <v>1.0377516767252266</v>
      </c>
      <c r="E58" s="30">
        <f>E16/E20</f>
        <v>1.1490253679441864</v>
      </c>
      <c r="G58" s="36" t="s">
        <v>72</v>
      </c>
      <c r="H58" s="37">
        <f>H22/$B$7/1000</f>
        <v>1.8848109406853704</v>
      </c>
      <c r="I58" s="37">
        <f>I22/$B$7/1000</f>
        <v>1.9834542762838561</v>
      </c>
      <c r="J58" s="37">
        <f>J22/$B$7/1000</f>
        <v>1.9662472090088341</v>
      </c>
      <c r="K58" s="37">
        <f>K22/$B$7/1000</f>
        <v>2.2998798660324242</v>
      </c>
      <c r="M58" s="6"/>
    </row>
    <row r="59" spans="1:26">
      <c r="G59" s="36" t="s">
        <v>73</v>
      </c>
      <c r="H59" s="37">
        <f>B20/$B$7/1000</f>
        <v>39.546943257936121</v>
      </c>
      <c r="I59" s="37">
        <f>C20/$B$7/1000</f>
        <v>53.810030579555381</v>
      </c>
      <c r="J59" s="37">
        <f>D20/$B$7/1000</f>
        <v>36.127948742840495</v>
      </c>
      <c r="K59" s="37">
        <f>E20/$B$7/1000</f>
        <v>25.495073293854965</v>
      </c>
      <c r="M59" s="6"/>
    </row>
    <row r="60" spans="1:26">
      <c r="G60" s="33" t="s">
        <v>74</v>
      </c>
      <c r="H60" s="38">
        <f>SQRT(10*H58*H59)</f>
        <v>27.30174194501544</v>
      </c>
      <c r="I60" s="38">
        <f>SQRT(10*I58*I59)</f>
        <v>32.669517177329723</v>
      </c>
      <c r="J60" s="38">
        <f>SQRT(10*J58*J59)</f>
        <v>26.652669356524935</v>
      </c>
      <c r="K60" s="38">
        <f>SQRT(10*K58*K59)</f>
        <v>24.214790057227006</v>
      </c>
      <c r="M60" s="6"/>
    </row>
    <row r="61" spans="1:26">
      <c r="G61" s="33" t="s">
        <v>75</v>
      </c>
      <c r="H61" s="39">
        <f>H58-(B20*0.08/1000/$B$7)</f>
        <v>-1.27894451994952</v>
      </c>
      <c r="I61" s="39">
        <f>I58-(C20*0.08/1000/$B$7)</f>
        <v>-2.3213481700805749</v>
      </c>
      <c r="J61" s="39">
        <f>J58-(D20*0.08/1000/$B$7)</f>
        <v>-0.92398869041840581</v>
      </c>
      <c r="K61" s="39">
        <f>K58-(E20*0.08/1000/$B$7)</f>
        <v>0.2602740025240271</v>
      </c>
      <c r="M61" s="6"/>
    </row>
    <row r="62" spans="1:26">
      <c r="G62" s="40" t="s">
        <v>76</v>
      </c>
      <c r="H62" s="41">
        <f>H25/$B$7/1000</f>
        <v>2.5</v>
      </c>
      <c r="I62" s="41">
        <f>I25/$B$7/1000</f>
        <v>2.5</v>
      </c>
      <c r="J62" s="41">
        <f>J25/$B$7/1000</f>
        <v>2.5</v>
      </c>
      <c r="K62" s="41">
        <f>K25/$B$7/1000</f>
        <v>2.5</v>
      </c>
      <c r="M62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opLeftCell="H1" zoomScaleNormal="100" workbookViewId="0"/>
  </sheetViews>
  <sheetFormatPr defaultRowHeight="15"/>
  <cols>
    <col min="1" max="1" width="25"/>
    <col min="2" max="6" width="15.140625"/>
    <col min="7" max="7" width="22.5703125"/>
    <col min="8" max="12" width="15.140625"/>
    <col min="13" max="13" width="32.140625"/>
    <col min="14" max="26" width="15.140625"/>
    <col min="27" max="1025" width="14.42578125"/>
  </cols>
  <sheetData>
    <row r="1" spans="1:17">
      <c r="A1" s="2"/>
      <c r="G1" s="6"/>
      <c r="M1" s="6"/>
    </row>
    <row r="2" spans="1:17">
      <c r="A2" s="2"/>
      <c r="G2" s="6"/>
      <c r="M2" s="6"/>
    </row>
    <row r="3" spans="1:17">
      <c r="A3" s="2"/>
      <c r="G3" s="6"/>
      <c r="M3" s="6"/>
    </row>
    <row r="4" spans="1:17">
      <c r="A4" s="2" t="str">
        <f ca="1">IFERROR(__xludf.dummyfunction("GOOGLEFINANCE(""TADAWUL:4190"")"),"145")</f>
        <v>145</v>
      </c>
      <c r="G4" s="6"/>
      <c r="M4" s="6"/>
    </row>
    <row r="5" spans="1:17">
      <c r="A5" s="2" t="s">
        <v>0</v>
      </c>
      <c r="B5" s="3">
        <f ca="1">A4*B7</f>
        <v>13050000</v>
      </c>
      <c r="C5" s="6">
        <f>H11/1000/B7</f>
        <v>7.0837533333333327E-2</v>
      </c>
      <c r="D5" s="6">
        <f>100/C5</f>
        <v>1411.6810015029698</v>
      </c>
      <c r="G5" s="6"/>
      <c r="M5" s="6"/>
    </row>
    <row r="6" spans="1:17">
      <c r="A6" s="2" t="s">
        <v>1</v>
      </c>
      <c r="B6" s="4">
        <f ca="1">B5*1000+(12730)-N23</f>
        <v>13049903108</v>
      </c>
      <c r="C6" s="28">
        <f ca="1">H20/B6</f>
        <v>6.5284162874567763E-5</v>
      </c>
      <c r="G6" s="6"/>
      <c r="M6" s="6"/>
    </row>
    <row r="7" spans="1:17">
      <c r="A7" s="2" t="s">
        <v>2</v>
      </c>
      <c r="B7" s="62">
        <v>90000</v>
      </c>
      <c r="G7" s="6"/>
      <c r="M7" s="6"/>
    </row>
    <row r="8" spans="1:17">
      <c r="A8" s="6"/>
      <c r="G8" s="6"/>
      <c r="M8" s="6"/>
    </row>
    <row r="9" spans="1:17">
      <c r="A9" s="6"/>
      <c r="G9" s="6"/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426209</v>
      </c>
      <c r="C11" s="56">
        <v>563697</v>
      </c>
      <c r="D11" s="56">
        <v>402011</v>
      </c>
      <c r="E11" s="56">
        <v>406701</v>
      </c>
      <c r="G11" s="25" t="s">
        <v>7</v>
      </c>
      <c r="H11" s="56">
        <v>6375378</v>
      </c>
      <c r="I11" s="56">
        <v>5698723</v>
      </c>
      <c r="J11" s="56">
        <v>5242666</v>
      </c>
      <c r="K11" s="56">
        <v>4634216</v>
      </c>
      <c r="M11" s="25" t="s">
        <v>8</v>
      </c>
      <c r="N11" s="56">
        <v>828471</v>
      </c>
      <c r="O11" s="56">
        <v>745364</v>
      </c>
      <c r="P11" s="56">
        <v>674454</v>
      </c>
      <c r="Q11" s="56">
        <v>588214</v>
      </c>
    </row>
    <row r="12" spans="1:17">
      <c r="A12" s="25" t="s">
        <v>9</v>
      </c>
      <c r="B12" s="56">
        <v>792591</v>
      </c>
      <c r="C12" s="56">
        <v>817120</v>
      </c>
      <c r="D12" s="56">
        <v>771490</v>
      </c>
      <c r="E12" s="56">
        <v>725918</v>
      </c>
      <c r="G12" s="25" t="s">
        <v>10</v>
      </c>
      <c r="H12" s="56">
        <v>5403347</v>
      </c>
      <c r="I12" s="58">
        <v>4812246</v>
      </c>
      <c r="J12" s="56">
        <v>4448310</v>
      </c>
      <c r="K12" s="56">
        <v>3940110</v>
      </c>
      <c r="M12" s="25" t="s">
        <v>11</v>
      </c>
      <c r="N12" s="56">
        <v>32520</v>
      </c>
      <c r="O12" s="56">
        <v>30901</v>
      </c>
      <c r="P12" s="56">
        <v>20953</v>
      </c>
      <c r="Q12" s="56">
        <v>21618</v>
      </c>
    </row>
    <row r="13" spans="1:17">
      <c r="A13" s="25" t="s">
        <v>12</v>
      </c>
      <c r="B13" s="56">
        <v>60992</v>
      </c>
      <c r="C13" s="56">
        <v>32906</v>
      </c>
      <c r="D13" s="56">
        <v>33384</v>
      </c>
      <c r="E13" s="56">
        <v>34294</v>
      </c>
      <c r="G13" s="25" t="s">
        <v>13</v>
      </c>
      <c r="H13" s="56">
        <v>972031</v>
      </c>
      <c r="I13" s="56">
        <v>886477</v>
      </c>
      <c r="J13" s="56">
        <v>794356</v>
      </c>
      <c r="K13" s="56">
        <v>694106</v>
      </c>
      <c r="M13" s="25" t="s">
        <v>14</v>
      </c>
      <c r="N13" s="58">
        <v>-12186</v>
      </c>
      <c r="O13" s="58">
        <v>-71375</v>
      </c>
      <c r="P13" s="56">
        <v>7511</v>
      </c>
      <c r="Q13" s="56">
        <v>18905</v>
      </c>
    </row>
    <row r="14" spans="1:17">
      <c r="A14" s="25" t="s">
        <v>15</v>
      </c>
      <c r="B14" s="56">
        <v>1131200</v>
      </c>
      <c r="C14" s="56">
        <v>1048419</v>
      </c>
      <c r="D14" s="56">
        <v>994038</v>
      </c>
      <c r="E14" s="56">
        <v>814136</v>
      </c>
      <c r="G14" s="25" t="s">
        <v>16</v>
      </c>
      <c r="H14" s="56">
        <v>45519</v>
      </c>
      <c r="I14" s="56">
        <v>43531</v>
      </c>
      <c r="J14" s="56">
        <v>33234</v>
      </c>
      <c r="K14" s="56">
        <v>31573</v>
      </c>
      <c r="M14" s="25" t="s">
        <v>9</v>
      </c>
      <c r="N14" s="56">
        <v>24596</v>
      </c>
      <c r="O14" s="58">
        <v>-45630</v>
      </c>
      <c r="P14" s="58">
        <v>-52216</v>
      </c>
      <c r="Q14" s="58">
        <v>-158269</v>
      </c>
    </row>
    <row r="15" spans="1:17">
      <c r="A15" s="25" t="s">
        <v>17</v>
      </c>
      <c r="B15" s="57"/>
      <c r="C15" s="57"/>
      <c r="D15" s="57"/>
      <c r="E15" s="57"/>
      <c r="G15" s="25" t="s">
        <v>18</v>
      </c>
      <c r="H15" s="56">
        <v>1017550</v>
      </c>
      <c r="I15" s="56">
        <v>930008</v>
      </c>
      <c r="J15" s="56">
        <v>827590</v>
      </c>
      <c r="K15" s="56">
        <v>725679</v>
      </c>
      <c r="M15" s="25" t="s">
        <v>19</v>
      </c>
      <c r="N15" s="56">
        <v>32782</v>
      </c>
      <c r="O15" s="58">
        <v>-48122</v>
      </c>
      <c r="P15" s="58">
        <v>-21239</v>
      </c>
      <c r="Q15" s="56">
        <v>932</v>
      </c>
    </row>
    <row r="16" spans="1:17">
      <c r="A16" s="25" t="s">
        <v>20</v>
      </c>
      <c r="B16" s="56">
        <v>2410992</v>
      </c>
      <c r="C16" s="56">
        <v>2462142</v>
      </c>
      <c r="D16" s="56">
        <v>2200923</v>
      </c>
      <c r="E16" s="56">
        <v>1981049</v>
      </c>
      <c r="G16" s="25" t="s">
        <v>21</v>
      </c>
      <c r="H16" s="56">
        <v>161889</v>
      </c>
      <c r="I16" s="56">
        <v>156445</v>
      </c>
      <c r="J16" s="56">
        <v>143320</v>
      </c>
      <c r="K16" s="56">
        <v>129500</v>
      </c>
      <c r="M16" s="25" t="s">
        <v>22</v>
      </c>
      <c r="N16" s="58">
        <v>-29009</v>
      </c>
      <c r="O16" s="56">
        <v>183628</v>
      </c>
      <c r="P16" s="58">
        <v>-41361</v>
      </c>
      <c r="Q16" s="56">
        <v>105269</v>
      </c>
    </row>
    <row r="17" spans="1:26">
      <c r="A17" s="25" t="s">
        <v>23</v>
      </c>
      <c r="B17" s="56">
        <v>776287</v>
      </c>
      <c r="C17" s="56">
        <v>944606</v>
      </c>
      <c r="D17" s="56">
        <v>782864</v>
      </c>
      <c r="E17" s="56">
        <v>697036</v>
      </c>
      <c r="G17" s="25" t="s">
        <v>11</v>
      </c>
      <c r="H17" s="56">
        <v>1442</v>
      </c>
      <c r="I17" s="56">
        <v>3218</v>
      </c>
      <c r="J17" s="56">
        <v>3007</v>
      </c>
      <c r="K17" s="56">
        <v>2615</v>
      </c>
      <c r="M17" s="25" t="s">
        <v>24</v>
      </c>
      <c r="N17" s="56">
        <v>32767</v>
      </c>
      <c r="O17" s="56">
        <v>13979</v>
      </c>
      <c r="P17" s="56">
        <v>3295</v>
      </c>
      <c r="Q17" s="58">
        <v>-24168</v>
      </c>
    </row>
    <row r="18" spans="1:26">
      <c r="A18" s="25" t="s">
        <v>25</v>
      </c>
      <c r="B18" s="56">
        <v>131108</v>
      </c>
      <c r="C18" s="56">
        <v>157510</v>
      </c>
      <c r="D18" s="56">
        <v>245397</v>
      </c>
      <c r="E18" s="56">
        <v>257614</v>
      </c>
      <c r="G18" s="25" t="s">
        <v>26</v>
      </c>
      <c r="H18" s="56">
        <v>2267</v>
      </c>
      <c r="I18" s="56">
        <v>4835</v>
      </c>
      <c r="J18" s="56">
        <v>6809</v>
      </c>
      <c r="K18" s="56">
        <v>5350</v>
      </c>
      <c r="M18" s="25" t="s">
        <v>27</v>
      </c>
      <c r="N18" s="58">
        <v>-142313</v>
      </c>
      <c r="O18" s="58">
        <v>-84816</v>
      </c>
      <c r="P18" s="58">
        <v>-218347</v>
      </c>
      <c r="Q18" s="58">
        <v>-93402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165598</v>
      </c>
      <c r="I19" s="56">
        <v>164498</v>
      </c>
      <c r="J19" s="56">
        <v>153136</v>
      </c>
      <c r="K19" s="56">
        <v>137465</v>
      </c>
      <c r="M19" s="25" t="s">
        <v>30</v>
      </c>
      <c r="N19" s="56">
        <v>5</v>
      </c>
      <c r="O19" s="56">
        <v>1260</v>
      </c>
      <c r="P19" s="56">
        <v>75806</v>
      </c>
      <c r="Q19" s="56">
        <v>272</v>
      </c>
    </row>
    <row r="20" spans="1:26">
      <c r="A20" s="25" t="s">
        <v>31</v>
      </c>
      <c r="B20" s="56">
        <v>1503597</v>
      </c>
      <c r="C20" s="56">
        <v>1360026</v>
      </c>
      <c r="D20" s="56">
        <v>1172662</v>
      </c>
      <c r="E20" s="56">
        <v>1026399</v>
      </c>
      <c r="G20" s="25" t="s">
        <v>32</v>
      </c>
      <c r="H20" s="56">
        <v>851952</v>
      </c>
      <c r="I20" s="56">
        <v>765510</v>
      </c>
      <c r="J20" s="56">
        <v>674454</v>
      </c>
      <c r="K20" s="56">
        <v>588214</v>
      </c>
      <c r="M20" s="25" t="s">
        <v>33</v>
      </c>
      <c r="N20" s="58">
        <v>-100000</v>
      </c>
      <c r="O20" s="58">
        <v>-125000</v>
      </c>
      <c r="P20" s="56">
        <v>33082</v>
      </c>
      <c r="Q20" s="56">
        <v>41761</v>
      </c>
    </row>
    <row r="21" spans="1:26">
      <c r="A21" s="25" t="s">
        <v>34</v>
      </c>
      <c r="B21" s="59"/>
      <c r="C21" s="59"/>
      <c r="D21" s="57"/>
      <c r="E21" s="59"/>
      <c r="G21" s="25" t="s">
        <v>35</v>
      </c>
      <c r="H21" s="56">
        <v>23481</v>
      </c>
      <c r="I21" s="56">
        <v>20146</v>
      </c>
      <c r="J21" s="56">
        <v>21191</v>
      </c>
      <c r="K21" s="56">
        <v>18390</v>
      </c>
      <c r="M21" s="25" t="s">
        <v>36</v>
      </c>
      <c r="N21" s="58">
        <v>-684900</v>
      </c>
      <c r="O21" s="58">
        <v>-558000</v>
      </c>
      <c r="P21" s="58">
        <v>-507000</v>
      </c>
      <c r="Q21" s="58">
        <v>-450000</v>
      </c>
    </row>
    <row r="22" spans="1:26">
      <c r="A22" s="25" t="s">
        <v>37</v>
      </c>
      <c r="B22" s="56">
        <v>2410992</v>
      </c>
      <c r="C22" s="56">
        <v>2462142</v>
      </c>
      <c r="D22" s="56">
        <v>2200923</v>
      </c>
      <c r="E22" s="56">
        <v>1981049</v>
      </c>
      <c r="G22" s="25" t="s">
        <v>8</v>
      </c>
      <c r="H22" s="56">
        <v>828471</v>
      </c>
      <c r="I22" s="56">
        <v>745364</v>
      </c>
      <c r="J22" s="56">
        <v>653263</v>
      </c>
      <c r="K22" s="56">
        <v>569824</v>
      </c>
      <c r="M22" s="25" t="s">
        <v>38</v>
      </c>
      <c r="N22" s="56">
        <v>128031</v>
      </c>
      <c r="O22" s="56">
        <v>85842</v>
      </c>
      <c r="P22" s="56">
        <v>110904</v>
      </c>
      <c r="Q22" s="56">
        <v>59772</v>
      </c>
    </row>
    <row r="23" spans="1:26">
      <c r="A23" s="6"/>
      <c r="B23" s="4">
        <f>B11+B12</f>
        <v>1218800</v>
      </c>
      <c r="C23" s="4">
        <f>C11+C12</f>
        <v>1380817</v>
      </c>
      <c r="D23" s="4">
        <f>D11+D12</f>
        <v>1173501</v>
      </c>
      <c r="E23" s="4">
        <f>E11+E12</f>
        <v>1132619</v>
      </c>
      <c r="G23" s="25" t="s">
        <v>39</v>
      </c>
      <c r="H23" s="57"/>
      <c r="I23" s="57"/>
      <c r="J23" s="57"/>
      <c r="K23" s="57"/>
      <c r="M23" s="25" t="s">
        <v>40</v>
      </c>
      <c r="N23" s="56">
        <v>109622</v>
      </c>
      <c r="O23" s="56">
        <v>128031</v>
      </c>
      <c r="P23" s="56">
        <v>85842</v>
      </c>
      <c r="Q23" s="56">
        <v>110904</v>
      </c>
    </row>
    <row r="24" spans="1:26">
      <c r="A24" s="6"/>
      <c r="B24" s="6">
        <f>B16/(B22-B20)</f>
        <v>2.6570479229001704</v>
      </c>
      <c r="C24" s="6">
        <f>C16/(C22-C20)</f>
        <v>2.2340134795248412</v>
      </c>
      <c r="D24" s="6">
        <f>D16/(D22-D20)</f>
        <v>2.1404322443426329</v>
      </c>
      <c r="E24" s="6">
        <f>E16/(E22-E20)</f>
        <v>2.0751573875242237</v>
      </c>
      <c r="G24" s="25" t="s">
        <v>41</v>
      </c>
      <c r="H24" s="57"/>
      <c r="I24" s="57"/>
      <c r="J24" s="57"/>
      <c r="K24" s="57"/>
      <c r="M24" s="2" t="s">
        <v>42</v>
      </c>
      <c r="N24" s="12">
        <f>SUM(N11:N17)</f>
        <v>909941</v>
      </c>
      <c r="O24" s="12">
        <f>SUM(O11:O17)</f>
        <v>808745</v>
      </c>
      <c r="P24" s="12">
        <f>SUM(P11:P17)</f>
        <v>591397</v>
      </c>
      <c r="Q24" s="12">
        <f>SUM(Q11:Q17)</f>
        <v>552501</v>
      </c>
    </row>
    <row r="25" spans="1:26">
      <c r="A25" s="6"/>
      <c r="B25" s="6">
        <f ca="1">B24/B5*1000</f>
        <v>2.0360520481993644E-4</v>
      </c>
      <c r="G25" s="25" t="s">
        <v>43</v>
      </c>
      <c r="H25" s="57">
        <v>684900</v>
      </c>
      <c r="I25" s="57">
        <v>585000</v>
      </c>
      <c r="J25" s="57"/>
      <c r="K25" s="57"/>
      <c r="M25" s="2" t="s">
        <v>44</v>
      </c>
      <c r="N25" s="12">
        <f>N18+N19</f>
        <v>-142308</v>
      </c>
      <c r="O25" s="12">
        <f>O18+O19</f>
        <v>-83556</v>
      </c>
      <c r="P25" s="12">
        <f>P18+P19</f>
        <v>-142541</v>
      </c>
      <c r="Q25" s="12">
        <f>Q18+Q19</f>
        <v>-93130</v>
      </c>
    </row>
    <row r="26" spans="1:26">
      <c r="A26" s="6"/>
      <c r="B26" s="4">
        <f>B23-B17</f>
        <v>442513</v>
      </c>
      <c r="C26" s="4">
        <f>C23-C17</f>
        <v>436211</v>
      </c>
      <c r="G26" s="25" t="s">
        <v>45</v>
      </c>
      <c r="H26" s="57"/>
      <c r="I26" s="57"/>
      <c r="J26" s="57"/>
      <c r="K26" s="57"/>
      <c r="M26" s="2" t="s">
        <v>46</v>
      </c>
      <c r="N26" s="12">
        <f>N20+N21</f>
        <v>-784900</v>
      </c>
      <c r="O26" s="12">
        <f>O20+O21</f>
        <v>-683000</v>
      </c>
      <c r="P26" s="12">
        <f>P20+P21</f>
        <v>-473918</v>
      </c>
      <c r="Q26" s="12">
        <f>Q20+Q21</f>
        <v>-408239</v>
      </c>
    </row>
    <row r="27" spans="1:26">
      <c r="A27" s="6"/>
      <c r="B27" s="6">
        <f>B22/90000</f>
        <v>26.788799999999998</v>
      </c>
      <c r="F27" s="6">
        <f>H20*0.025</f>
        <v>21298.800000000003</v>
      </c>
      <c r="G27" s="25" t="s">
        <v>47</v>
      </c>
      <c r="H27" s="57"/>
      <c r="I27" s="57"/>
      <c r="J27" s="57"/>
      <c r="K27" s="57"/>
      <c r="M27" s="2" t="s">
        <v>119</v>
      </c>
      <c r="N27" s="12">
        <f>N24+N18+N20</f>
        <v>667628</v>
      </c>
      <c r="O27" s="12">
        <f>O24+O18+O20</f>
        <v>598929</v>
      </c>
      <c r="P27" s="12">
        <f>P24+P18+P20</f>
        <v>406132</v>
      </c>
      <c r="Q27" s="12">
        <f>Q24+Q18+Q20</f>
        <v>500860</v>
      </c>
    </row>
    <row r="28" spans="1:26">
      <c r="A28" s="6"/>
      <c r="G28" s="6"/>
      <c r="M28" s="2" t="s">
        <v>120</v>
      </c>
      <c r="N28" s="12">
        <f>(C11-B11)+(B17-C17)</f>
        <v>-30831</v>
      </c>
      <c r="O28" s="12">
        <f>(D11-C11)+(C17-D17)</f>
        <v>56</v>
      </c>
      <c r="P28" s="12">
        <f>(E11-D11)+(D17-E17)</f>
        <v>90518</v>
      </c>
      <c r="Q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0.17677744264601458</v>
      </c>
      <c r="C30" s="24">
        <f t="shared" si="0"/>
        <v>0.2289457716086237</v>
      </c>
      <c r="D30" s="24">
        <f t="shared" si="0"/>
        <v>0.18265564038360269</v>
      </c>
      <c r="E30" s="24">
        <f t="shared" si="0"/>
        <v>0.20529578016495301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0.12994853011068519</v>
      </c>
      <c r="O30" s="26">
        <f t="shared" ref="O30:O42" si="3">O11/I$11</f>
        <v>0.13079491668572063</v>
      </c>
      <c r="P30" s="26">
        <f t="shared" ref="P30:P42" si="4">P11/J$11</f>
        <v>0.12864714250345149</v>
      </c>
      <c r="Q30" s="26">
        <f t="shared" ref="Q30:Q42" si="5">Q11/K$11</f>
        <v>0.12692848153819331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0.32874061796969878</v>
      </c>
      <c r="C31" s="24">
        <f t="shared" si="0"/>
        <v>0.33187362873465465</v>
      </c>
      <c r="D31" s="24">
        <f t="shared" si="0"/>
        <v>0.35053020937125018</v>
      </c>
      <c r="E31" s="24">
        <f t="shared" si="0"/>
        <v>0.36643111805916967</v>
      </c>
      <c r="F31" s="6"/>
      <c r="G31" s="25" t="s">
        <v>10</v>
      </c>
      <c r="H31" s="24">
        <f t="shared" si="1"/>
        <v>0.84753358938089629</v>
      </c>
      <c r="I31" s="24">
        <f t="shared" si="1"/>
        <v>0.84444286904276622</v>
      </c>
      <c r="J31" s="24">
        <f t="shared" si="1"/>
        <v>0.84848243241129606</v>
      </c>
      <c r="K31" s="24">
        <f t="shared" si="1"/>
        <v>0.85022148298655043</v>
      </c>
      <c r="L31" s="6"/>
      <c r="M31" s="25" t="s">
        <v>11</v>
      </c>
      <c r="N31" s="26">
        <f t="shared" si="2"/>
        <v>5.1008740187640641E-3</v>
      </c>
      <c r="O31" s="26">
        <f t="shared" si="3"/>
        <v>5.4224428876434244E-3</v>
      </c>
      <c r="P31" s="26">
        <f t="shared" si="4"/>
        <v>3.996630721850295E-3</v>
      </c>
      <c r="Q31" s="26">
        <f t="shared" si="5"/>
        <v>4.6648667217928557E-3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2.52974709165356E-2</v>
      </c>
      <c r="C32" s="24">
        <f t="shared" si="0"/>
        <v>1.3364785621625398E-2</v>
      </c>
      <c r="D32" s="24">
        <f t="shared" si="0"/>
        <v>1.5168181712854107E-2</v>
      </c>
      <c r="E32" s="24">
        <f t="shared" si="0"/>
        <v>1.7311030671124238E-2</v>
      </c>
      <c r="F32" s="6"/>
      <c r="G32" s="25" t="s">
        <v>13</v>
      </c>
      <c r="H32" s="24">
        <f t="shared" si="1"/>
        <v>0.15246641061910368</v>
      </c>
      <c r="I32" s="24">
        <f t="shared" si="1"/>
        <v>0.15555713095723375</v>
      </c>
      <c r="J32" s="24">
        <f t="shared" si="1"/>
        <v>0.15151756758870391</v>
      </c>
      <c r="K32" s="24">
        <f t="shared" si="1"/>
        <v>0.14977851701344952</v>
      </c>
      <c r="L32" s="6"/>
      <c r="M32" s="25" t="s">
        <v>14</v>
      </c>
      <c r="N32" s="26">
        <f t="shared" si="2"/>
        <v>-1.9114160760350209E-3</v>
      </c>
      <c r="O32" s="26">
        <f t="shared" si="3"/>
        <v>-1.2524735804846103E-2</v>
      </c>
      <c r="P32" s="26">
        <f t="shared" si="4"/>
        <v>1.4326680356902385E-3</v>
      </c>
      <c r="Q32" s="26">
        <f t="shared" si="5"/>
        <v>4.0794386795954271E-3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0.46918446846775103</v>
      </c>
      <c r="C33" s="24">
        <f t="shared" si="0"/>
        <v>0.42581581403509627</v>
      </c>
      <c r="D33" s="24">
        <f t="shared" si="0"/>
        <v>0.45164596853229305</v>
      </c>
      <c r="E33" s="24">
        <f t="shared" si="0"/>
        <v>0.41096207110475308</v>
      </c>
      <c r="F33" s="6"/>
      <c r="G33" s="25" t="s">
        <v>16</v>
      </c>
      <c r="H33" s="24">
        <f t="shared" si="1"/>
        <v>7.139811945268186E-3</v>
      </c>
      <c r="I33" s="24">
        <f t="shared" si="1"/>
        <v>7.6387288871559468E-3</v>
      </c>
      <c r="J33" s="24">
        <f t="shared" si="1"/>
        <v>6.3391411926680052E-3</v>
      </c>
      <c r="K33" s="24">
        <f t="shared" si="1"/>
        <v>6.8130186422039885E-3</v>
      </c>
      <c r="L33" s="6"/>
      <c r="M33" s="25" t="s">
        <v>9</v>
      </c>
      <c r="N33" s="26">
        <f t="shared" si="2"/>
        <v>3.8579673236630047E-3</v>
      </c>
      <c r="O33" s="26">
        <f t="shared" si="3"/>
        <v>-8.0070570196165008E-3</v>
      </c>
      <c r="P33" s="26">
        <f t="shared" si="4"/>
        <v>-9.9598181535882693E-3</v>
      </c>
      <c r="Q33" s="26">
        <f t="shared" si="5"/>
        <v>-3.4152270847970831E-2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0</v>
      </c>
      <c r="E34" s="24">
        <f t="shared" si="0"/>
        <v>0</v>
      </c>
      <c r="F34" s="6"/>
      <c r="G34" s="25" t="s">
        <v>18</v>
      </c>
      <c r="H34" s="24">
        <f t="shared" si="1"/>
        <v>0.15960622256437187</v>
      </c>
      <c r="I34" s="24">
        <f t="shared" si="1"/>
        <v>0.1631958598443897</v>
      </c>
      <c r="J34" s="24">
        <f t="shared" si="1"/>
        <v>0.15785670878137192</v>
      </c>
      <c r="K34" s="24">
        <f t="shared" si="1"/>
        <v>0.15659153565565351</v>
      </c>
      <c r="L34" s="6"/>
      <c r="M34" s="25" t="s">
        <v>19</v>
      </c>
      <c r="N34" s="26">
        <f t="shared" si="2"/>
        <v>5.1419696212522611E-3</v>
      </c>
      <c r="O34" s="26">
        <f t="shared" si="3"/>
        <v>-8.4443479705892006E-3</v>
      </c>
      <c r="P34" s="26">
        <f t="shared" si="4"/>
        <v>-4.0511831194281686E-3</v>
      </c>
      <c r="Q34" s="26">
        <f t="shared" si="5"/>
        <v>2.0111276643125828E-4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2.5392847294701586E-2</v>
      </c>
      <c r="I35" s="24">
        <f t="shared" si="1"/>
        <v>2.7452641583035356E-2</v>
      </c>
      <c r="J35" s="24">
        <f t="shared" si="1"/>
        <v>2.7337236436576352E-2</v>
      </c>
      <c r="K35" s="24">
        <f t="shared" si="1"/>
        <v>2.7944316794901232E-2</v>
      </c>
      <c r="L35" s="6"/>
      <c r="M35" s="25" t="s">
        <v>22</v>
      </c>
      <c r="N35" s="26">
        <f t="shared" si="2"/>
        <v>-4.5501615747332944E-3</v>
      </c>
      <c r="O35" s="26">
        <f t="shared" si="3"/>
        <v>3.2222657602413732E-2</v>
      </c>
      <c r="P35" s="26">
        <f t="shared" si="4"/>
        <v>-7.8893067000644322E-3</v>
      </c>
      <c r="Q35" s="26">
        <f t="shared" si="5"/>
        <v>2.2715600653918592E-2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0.32197825625302778</v>
      </c>
      <c r="C36" s="24">
        <f t="shared" si="0"/>
        <v>0.38365212079563243</v>
      </c>
      <c r="D36" s="24">
        <f t="shared" si="0"/>
        <v>0.35569804123088361</v>
      </c>
      <c r="E36" s="24">
        <f t="shared" si="0"/>
        <v>0.3518519733737025</v>
      </c>
      <c r="F36" s="6"/>
      <c r="G36" s="25" t="s">
        <v>11</v>
      </c>
      <c r="H36" s="24">
        <f t="shared" si="1"/>
        <v>2.2618266712969804E-4</v>
      </c>
      <c r="I36" s="24">
        <f t="shared" si="1"/>
        <v>5.6468791341498788E-4</v>
      </c>
      <c r="J36" s="24">
        <f t="shared" si="1"/>
        <v>5.7356314516316699E-4</v>
      </c>
      <c r="K36" s="24">
        <f t="shared" si="1"/>
        <v>5.6428099164993601E-4</v>
      </c>
      <c r="L36" s="6"/>
      <c r="M36" s="25" t="s">
        <v>24</v>
      </c>
      <c r="N36" s="26">
        <f t="shared" si="2"/>
        <v>5.1396168195830894E-3</v>
      </c>
      <c r="O36" s="26">
        <f t="shared" si="3"/>
        <v>2.4530056996979852E-3</v>
      </c>
      <c r="P36" s="26">
        <f t="shared" si="4"/>
        <v>6.2849702803878787E-4</v>
      </c>
      <c r="Q36" s="26">
        <f t="shared" si="5"/>
        <v>-5.2151216084878223E-3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5.4379276248116955E-2</v>
      </c>
      <c r="C37" s="24">
        <f t="shared" si="0"/>
        <v>6.3972752180824669E-2</v>
      </c>
      <c r="D37" s="24">
        <f t="shared" si="0"/>
        <v>0.1114973127183459</v>
      </c>
      <c r="E37" s="24">
        <f t="shared" si="0"/>
        <v>0.13003918630987926</v>
      </c>
      <c r="F37" s="6"/>
      <c r="G37" s="25" t="s">
        <v>26</v>
      </c>
      <c r="H37" s="24">
        <f t="shared" si="1"/>
        <v>3.5558675893413691E-4</v>
      </c>
      <c r="I37" s="24">
        <f t="shared" si="1"/>
        <v>8.4843569340008283E-4</v>
      </c>
      <c r="J37" s="24">
        <f t="shared" si="1"/>
        <v>1.2987666961809126E-3</v>
      </c>
      <c r="K37" s="24">
        <f t="shared" si="1"/>
        <v>1.154456330909047E-3</v>
      </c>
      <c r="L37" s="6"/>
      <c r="M37" s="25" t="s">
        <v>27</v>
      </c>
      <c r="N37" s="26">
        <f t="shared" si="2"/>
        <v>-2.2322284262988015E-2</v>
      </c>
      <c r="O37" s="26">
        <f t="shared" si="3"/>
        <v>-1.4883334389125423E-2</v>
      </c>
      <c r="P37" s="26">
        <f t="shared" si="4"/>
        <v>-4.164808515362222E-2</v>
      </c>
      <c r="Q37" s="26">
        <f t="shared" si="5"/>
        <v>-2.0154865461601272E-2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2.5974616720765419E-2</v>
      </c>
      <c r="I38" s="24">
        <f t="shared" si="1"/>
        <v>2.8865765189850429E-2</v>
      </c>
      <c r="J38" s="24">
        <f t="shared" si="1"/>
        <v>2.9209566277920433E-2</v>
      </c>
      <c r="K38" s="24">
        <f t="shared" si="1"/>
        <v>2.9663054117460213E-2</v>
      </c>
      <c r="L38" s="6"/>
      <c r="M38" s="25" t="s">
        <v>30</v>
      </c>
      <c r="N38" s="26">
        <f t="shared" si="2"/>
        <v>7.8426722305720538E-7</v>
      </c>
      <c r="O38" s="26">
        <f t="shared" si="3"/>
        <v>2.2110216622215189E-4</v>
      </c>
      <c r="P38" s="26">
        <f t="shared" si="4"/>
        <v>1.4459437240518468E-2</v>
      </c>
      <c r="Q38" s="26">
        <f t="shared" si="5"/>
        <v>5.8693854580796409E-5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0.62364246749885521</v>
      </c>
      <c r="C39" s="24">
        <f t="shared" si="0"/>
        <v>0.55237512702354297</v>
      </c>
      <c r="D39" s="24">
        <f t="shared" si="0"/>
        <v>0.53280464605077049</v>
      </c>
      <c r="E39" s="24">
        <f t="shared" si="0"/>
        <v>0.51810884031641824</v>
      </c>
      <c r="F39" s="6"/>
      <c r="G39" s="25" t="s">
        <v>32</v>
      </c>
      <c r="H39" s="24">
        <f t="shared" si="1"/>
        <v>0.13363160584360645</v>
      </c>
      <c r="I39" s="24">
        <f t="shared" si="1"/>
        <v>0.13433009465453927</v>
      </c>
      <c r="J39" s="24">
        <f t="shared" si="1"/>
        <v>0.12864714250345149</v>
      </c>
      <c r="K39" s="24">
        <f t="shared" si="1"/>
        <v>0.12692848153819331</v>
      </c>
      <c r="L39" s="6"/>
      <c r="M39" s="25" t="s">
        <v>33</v>
      </c>
      <c r="N39" s="26">
        <f t="shared" si="2"/>
        <v>-1.5685344461144109E-2</v>
      </c>
      <c r="O39" s="26">
        <f t="shared" si="3"/>
        <v>-2.1934738712515067E-2</v>
      </c>
      <c r="P39" s="26">
        <f t="shared" si="4"/>
        <v>6.310148310039205E-3</v>
      </c>
      <c r="Q39" s="26">
        <f t="shared" si="5"/>
        <v>9.0114487542229359E-3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3.6830757329212481E-3</v>
      </c>
      <c r="I40" s="24">
        <f t="shared" si="1"/>
        <v>3.5351779688186282E-3</v>
      </c>
      <c r="J40" s="24">
        <f t="shared" si="1"/>
        <v>4.0420274722822317E-3</v>
      </c>
      <c r="K40" s="24">
        <f t="shared" si="1"/>
        <v>3.9683087711060508E-3</v>
      </c>
      <c r="L40" s="6"/>
      <c r="M40" s="25" t="s">
        <v>36</v>
      </c>
      <c r="N40" s="26">
        <f t="shared" si="2"/>
        <v>-0.107428924214376</v>
      </c>
      <c r="O40" s="26">
        <f t="shared" si="3"/>
        <v>-9.791667361266726E-2</v>
      </c>
      <c r="P40" s="26">
        <f t="shared" si="4"/>
        <v>-9.6706522978957654E-2</v>
      </c>
      <c r="Q40" s="26">
        <f t="shared" si="5"/>
        <v>-9.7103803534405814E-2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0.12994853011068519</v>
      </c>
      <c r="I41" s="24">
        <f t="shared" si="1"/>
        <v>0.13079491668572063</v>
      </c>
      <c r="J41" s="24">
        <f t="shared" si="1"/>
        <v>0.12460511503116925</v>
      </c>
      <c r="K41" s="24">
        <f t="shared" si="1"/>
        <v>0.12296017276708725</v>
      </c>
      <c r="L41" s="6"/>
      <c r="M41" s="25" t="s">
        <v>38</v>
      </c>
      <c r="N41" s="26">
        <f t="shared" si="2"/>
        <v>2.0082103367047414E-2</v>
      </c>
      <c r="O41" s="26">
        <f t="shared" si="3"/>
        <v>1.5063374724477748E-2</v>
      </c>
      <c r="P41" s="26">
        <f t="shared" si="4"/>
        <v>2.1154122730687022E-2</v>
      </c>
      <c r="Q41" s="26">
        <f t="shared" si="5"/>
        <v>1.289797454413001E-2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</v>
      </c>
      <c r="I42" s="24">
        <f t="shared" si="1"/>
        <v>0</v>
      </c>
      <c r="J42" s="24">
        <f t="shared" si="1"/>
        <v>0</v>
      </c>
      <c r="K42" s="24">
        <f t="shared" si="1"/>
        <v>0</v>
      </c>
      <c r="L42" s="6"/>
      <c r="M42" s="25" t="s">
        <v>40</v>
      </c>
      <c r="N42" s="26">
        <f t="shared" si="2"/>
        <v>1.7194588305195393E-2</v>
      </c>
      <c r="O42" s="26">
        <f t="shared" si="3"/>
        <v>2.2466612256816131E-2</v>
      </c>
      <c r="P42" s="26">
        <f t="shared" si="4"/>
        <v>1.6373730464614759E-2</v>
      </c>
      <c r="Q42" s="26">
        <f t="shared" si="5"/>
        <v>2.3931556060399428E-2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0</v>
      </c>
      <c r="K43" s="24">
        <f t="shared" si="1"/>
        <v>0</v>
      </c>
      <c r="L43" s="6"/>
      <c r="M43" s="2" t="s">
        <v>49</v>
      </c>
      <c r="N43" s="26">
        <f>N24/H11</f>
        <v>0.1427273802431793</v>
      </c>
      <c r="O43" s="26">
        <f>O24/I11</f>
        <v>0.14191688208042399</v>
      </c>
      <c r="P43" s="26">
        <f>P24/J11</f>
        <v>0.11280463031594994</v>
      </c>
      <c r="Q43" s="26">
        <f>Q24/K11</f>
        <v>0.11922210790347278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0.107428924214376</v>
      </c>
      <c r="I44" s="24">
        <f t="shared" si="1"/>
        <v>0.10265457717457051</v>
      </c>
      <c r="J44" s="24">
        <f t="shared" si="1"/>
        <v>0</v>
      </c>
      <c r="K44" s="24">
        <f t="shared" si="1"/>
        <v>0</v>
      </c>
      <c r="L44" s="6"/>
      <c r="M44" s="2" t="s">
        <v>50</v>
      </c>
      <c r="N44" s="26">
        <f>N24/B16</f>
        <v>0.37741352936882411</v>
      </c>
      <c r="O44" s="26">
        <f>O24/C16</f>
        <v>0.32847211899232459</v>
      </c>
      <c r="P44" s="26">
        <f>P24/D16</f>
        <v>0.26870408460450457</v>
      </c>
      <c r="Q44" s="26">
        <f>Q24/E16</f>
        <v>0.27889315206236698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0</v>
      </c>
      <c r="J45" s="24">
        <f t="shared" si="1"/>
        <v>0</v>
      </c>
      <c r="K45" s="24">
        <f t="shared" si="1"/>
        <v>0</v>
      </c>
      <c r="L45" s="6"/>
      <c r="M45" s="2" t="s">
        <v>51</v>
      </c>
      <c r="N45" s="26">
        <f>N24/B20</f>
        <v>0.60517612099518692</v>
      </c>
      <c r="O45" s="26">
        <f>O24/C20</f>
        <v>0.59465407278978488</v>
      </c>
      <c r="P45" s="26">
        <f>P24/D20</f>
        <v>0.50432008541250595</v>
      </c>
      <c r="Q45" s="26">
        <f>Q24/E20</f>
        <v>0.53829066474148946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</v>
      </c>
      <c r="I46" s="24">
        <f t="shared" si="1"/>
        <v>0</v>
      </c>
      <c r="J46" s="24">
        <f t="shared" si="1"/>
        <v>0</v>
      </c>
      <c r="K46" s="24">
        <f t="shared" si="1"/>
        <v>0</v>
      </c>
      <c r="L46" s="6"/>
      <c r="M46" s="2" t="s">
        <v>52</v>
      </c>
      <c r="N46" s="26">
        <f>N24/H22</f>
        <v>1.0983377812862489</v>
      </c>
      <c r="O46" s="26">
        <f>O24/I22</f>
        <v>1.0850336211569112</v>
      </c>
      <c r="P46" s="26">
        <f>P24/J22</f>
        <v>0.90529694778366443</v>
      </c>
      <c r="Q46" s="26">
        <f>Q24/K22</f>
        <v>0.9695993850732858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1.0028058342838566</v>
      </c>
      <c r="O47" s="26">
        <f>O24/(C22-C20)</f>
        <v>0.73381114147694071</v>
      </c>
      <c r="P47" s="26">
        <f>P24/(D22-D20)</f>
        <v>0.57514288687405235</v>
      </c>
      <c r="Q47" s="26">
        <f>Q24/(E22-E20)</f>
        <v>0.57874718483213738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24"/>
      <c r="I48" s="6"/>
      <c r="J48" s="6"/>
      <c r="K48" s="6"/>
      <c r="L48" s="6"/>
      <c r="M48" s="2" t="s">
        <v>54</v>
      </c>
      <c r="N48" s="26">
        <f>N24/H25</f>
        <v>1.3285749744488247</v>
      </c>
      <c r="O48" s="26">
        <f>O24/I25</f>
        <v>1.3824700854700855</v>
      </c>
      <c r="P48" s="26" t="e">
        <f>P24/J25</f>
        <v>#DIV/0!</v>
      </c>
      <c r="Q48" s="26" t="e">
        <f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6.3939415232621055</v>
      </c>
      <c r="O49" s="26">
        <f>O24/(O18*-1)</f>
        <v>9.5352881531786462</v>
      </c>
      <c r="P49" s="26">
        <f>P24/(P18*-1)</f>
        <v>2.7085190087338042</v>
      </c>
      <c r="Q49" s="26">
        <f>Q24/(Q18*-1)</f>
        <v>5.9153015995374831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G50" s="6"/>
      <c r="M50" s="2" t="s">
        <v>121</v>
      </c>
      <c r="N50" s="32">
        <f ca="1">(H15-H16-N28-N25)/($B$6)</f>
        <v>7.88358343725413E-5</v>
      </c>
      <c r="O50" s="32">
        <f ca="1">(I15-I16-O28-O25)/($B$6)</f>
        <v>6.5675813292023107E-5</v>
      </c>
      <c r="P50" s="32">
        <f ca="1">(J15-J16-P28-P25)/($B$6)</f>
        <v>5.6421338450293115E-5</v>
      </c>
    </row>
    <row r="51" spans="1:26">
      <c r="A51" s="6"/>
      <c r="G51" s="6"/>
      <c r="M51" s="2" t="s">
        <v>59</v>
      </c>
      <c r="N51" s="32">
        <f>(N11-N24-N25)/B16</f>
        <v>2.5233596793353109E-2</v>
      </c>
      <c r="O51" s="32">
        <f>(O11-O24-O25)/C16</f>
        <v>8.1940846628667241E-3</v>
      </c>
      <c r="P51" s="32">
        <f>(P11-P24-P25)/D16</f>
        <v>0.1025015413987677</v>
      </c>
      <c r="Q51" s="32">
        <f>(Q11-Q24-Q25)/E16</f>
        <v>6.5037765345531587E-2</v>
      </c>
    </row>
    <row r="52" spans="1:26">
      <c r="A52" s="6"/>
      <c r="G52" s="6"/>
      <c r="M52" s="6"/>
      <c r="N52" s="4">
        <f>N24+N18</f>
        <v>767628</v>
      </c>
      <c r="O52" s="4">
        <f>O24+O18</f>
        <v>723929</v>
      </c>
      <c r="P52" s="4">
        <f>P24+P18</f>
        <v>373050</v>
      </c>
      <c r="Q52" s="4">
        <f>Q24+Q18</f>
        <v>459099</v>
      </c>
      <c r="R52" s="4">
        <f>AVERAGE(N52:Q52)</f>
        <v>580926.5</v>
      </c>
    </row>
    <row r="53" spans="1:26">
      <c r="A53" s="6"/>
      <c r="G53" s="6"/>
      <c r="M53" s="6"/>
      <c r="N53" s="28">
        <f>LN(N52/O52)</f>
        <v>5.8611919521646842E-2</v>
      </c>
      <c r="O53" s="28">
        <f>LN(O52/P52)</f>
        <v>0.66298086236103659</v>
      </c>
      <c r="P53" s="28">
        <f>LN(P52/Q52)</f>
        <v>-0.20755341416059112</v>
      </c>
    </row>
    <row r="54" spans="1:26">
      <c r="A54" s="6"/>
      <c r="G54" s="2" t="s">
        <v>56</v>
      </c>
      <c r="H54" s="28">
        <f>LN(H22/I22)</f>
        <v>0.1057091435744343</v>
      </c>
      <c r="I54" s="28">
        <f>LN(I15/J15)</f>
        <v>0.11667532559440234</v>
      </c>
      <c r="J54" s="28">
        <f>LN(J22/K22)</f>
        <v>0.13665226348131815</v>
      </c>
      <c r="M54" s="6"/>
    </row>
    <row r="55" spans="1:26">
      <c r="A55" s="29" t="s">
        <v>57</v>
      </c>
      <c r="B55" s="30">
        <f>B23/B17</f>
        <v>1.5700378854727697</v>
      </c>
      <c r="C55" s="30">
        <f>C23/C17</f>
        <v>1.4617914770814497</v>
      </c>
      <c r="D55" s="30">
        <f>D23/D17</f>
        <v>1.4989844979460034</v>
      </c>
      <c r="E55" s="30">
        <f>E23/E17</f>
        <v>1.624907465324603</v>
      </c>
      <c r="G55" s="29" t="s">
        <v>58</v>
      </c>
      <c r="H55" s="63">
        <f>H13/H11</f>
        <v>0.15246641061910368</v>
      </c>
      <c r="I55" s="63">
        <f>I13/I11</f>
        <v>0.15555713095723375</v>
      </c>
      <c r="J55" s="63">
        <f>J13/J11</f>
        <v>0.15151756758870391</v>
      </c>
      <c r="K55" s="63">
        <f>K13/K11</f>
        <v>0.14977851701344952</v>
      </c>
      <c r="L55" s="31"/>
      <c r="M55" s="6"/>
    </row>
    <row r="56" spans="1:26">
      <c r="A56" s="29" t="s">
        <v>60</v>
      </c>
      <c r="B56" s="31">
        <f>H20/B16</f>
        <v>0.35336160385434712</v>
      </c>
      <c r="C56" s="31">
        <f>I20/C16</f>
        <v>0.3109122057135616</v>
      </c>
      <c r="D56" s="31">
        <f>J20/D16</f>
        <v>0.30644143388932732</v>
      </c>
      <c r="E56" s="31">
        <f>K20/E16</f>
        <v>0.29692046991265736</v>
      </c>
      <c r="F56" s="31"/>
      <c r="G56" s="29" t="s">
        <v>61</v>
      </c>
      <c r="H56" s="63">
        <f>H16/H11</f>
        <v>2.5392847294701586E-2</v>
      </c>
      <c r="I56" s="63">
        <f>I16/I11</f>
        <v>2.7452641583035356E-2</v>
      </c>
      <c r="J56" s="63">
        <f>J16/J11</f>
        <v>2.7337236436576352E-2</v>
      </c>
      <c r="K56" s="63">
        <f>K16/K11</f>
        <v>2.7944316794901232E-2</v>
      </c>
      <c r="M56" s="6"/>
    </row>
    <row r="57" spans="1:26">
      <c r="A57" s="29" t="s">
        <v>62</v>
      </c>
      <c r="B57" s="31">
        <f>H20/B20</f>
        <v>0.56660927096821823</v>
      </c>
      <c r="C57" s="31">
        <f>I20/C20</f>
        <v>0.56286423936012986</v>
      </c>
      <c r="D57" s="31">
        <f>J20/D20</f>
        <v>0.57514782605729531</v>
      </c>
      <c r="E57" s="31">
        <f>K20/E20</f>
        <v>0.57308512576493154</v>
      </c>
      <c r="G57" s="29" t="s">
        <v>11</v>
      </c>
      <c r="H57" s="71">
        <f>H17/H11</f>
        <v>2.2618266712969804E-4</v>
      </c>
      <c r="I57" s="71">
        <f>I17/I11</f>
        <v>5.6468791341498788E-4</v>
      </c>
      <c r="J57" s="71">
        <f>J17/J11</f>
        <v>5.7356314516316699E-4</v>
      </c>
      <c r="K57" s="71">
        <f>K17/K11</f>
        <v>5.6428099164993601E-4</v>
      </c>
      <c r="M57" s="6"/>
    </row>
    <row r="58" spans="1:26">
      <c r="A58" s="29" t="s">
        <v>63</v>
      </c>
      <c r="B58" s="30">
        <f>H11/B12</f>
        <v>8.0437173775629542</v>
      </c>
      <c r="C58" s="30">
        <f>I11/C12</f>
        <v>6.9741567945956531</v>
      </c>
      <c r="D58" s="30">
        <f>J11/D12</f>
        <v>6.7955073947815263</v>
      </c>
      <c r="E58" s="30">
        <f>K11/E12</f>
        <v>6.383938681779485</v>
      </c>
      <c r="G58" s="29" t="s">
        <v>64</v>
      </c>
      <c r="H58" s="63">
        <f>H25/H22</f>
        <v>0.82670365045970229</v>
      </c>
      <c r="I58" s="63">
        <f>I25/I22</f>
        <v>0.78485142829543686</v>
      </c>
      <c r="J58" s="63">
        <f>J25/J22</f>
        <v>0</v>
      </c>
      <c r="K58" s="63">
        <f>K25/K22</f>
        <v>0</v>
      </c>
      <c r="M58" s="6"/>
    </row>
    <row r="59" spans="1:26">
      <c r="A59" s="29" t="s">
        <v>65</v>
      </c>
      <c r="B59" s="31">
        <f>(B22-B20)/B16</f>
        <v>0.37635753250114473</v>
      </c>
      <c r="C59" s="31">
        <f>(C22-C20)/C16</f>
        <v>0.44762487297645709</v>
      </c>
      <c r="D59" s="31">
        <f>(D22-D20)/D16</f>
        <v>0.46719535394922951</v>
      </c>
      <c r="E59" s="31">
        <f>(E22-E20)/E16</f>
        <v>0.48189115968358176</v>
      </c>
      <c r="G59" s="29" t="s">
        <v>66</v>
      </c>
      <c r="H59" s="63">
        <f>H22/H11</f>
        <v>0.12994853011068519</v>
      </c>
      <c r="I59" s="63">
        <f>I22/I11</f>
        <v>0.13079491668572063</v>
      </c>
      <c r="J59" s="63">
        <f>J22/J11</f>
        <v>0.12460511503116925</v>
      </c>
      <c r="K59" s="63">
        <f>K22/K11</f>
        <v>0.12296017276708725</v>
      </c>
      <c r="L59" s="65"/>
      <c r="M59" s="6"/>
    </row>
    <row r="60" spans="1:26">
      <c r="A60" s="29" t="s">
        <v>67</v>
      </c>
      <c r="B60" s="31">
        <f>(B22-B20)/B20</f>
        <v>0.60348284813018382</v>
      </c>
      <c r="C60" s="31">
        <f>(C22-C20)/C20</f>
        <v>0.81036391951330344</v>
      </c>
      <c r="D60" s="31">
        <f>(D22-D20)/D20</f>
        <v>0.87686051053074121</v>
      </c>
      <c r="E60" s="31">
        <f>(E22-E20)/E20</f>
        <v>0.930096385518692</v>
      </c>
      <c r="G60" s="33" t="s">
        <v>68</v>
      </c>
      <c r="H60" s="34">
        <f>H13/B16</f>
        <v>0.4031664144883102</v>
      </c>
      <c r="I60" s="34">
        <f>I13/C16</f>
        <v>0.3600430032061514</v>
      </c>
      <c r="J60" s="34">
        <f>J13/D16</f>
        <v>0.36091948696069787</v>
      </c>
      <c r="K60" s="34">
        <f>K13/E16</f>
        <v>0.35037295897274628</v>
      </c>
      <c r="M60" s="6"/>
    </row>
    <row r="61" spans="1:26">
      <c r="A61" s="29" t="s">
        <v>69</v>
      </c>
      <c r="B61" s="30">
        <f>H11/B16</f>
        <v>2.6442966214736505</v>
      </c>
      <c r="C61" s="30">
        <f>I11/C16</f>
        <v>2.3145387227869065</v>
      </c>
      <c r="D61" s="30">
        <f>J11/D16</f>
        <v>2.3820306298766472</v>
      </c>
      <c r="E61" s="30">
        <f>K11/E16</f>
        <v>2.3392737887856385</v>
      </c>
      <c r="G61" s="33" t="s">
        <v>70</v>
      </c>
      <c r="H61" s="35">
        <f ca="1">H25/$B$5</f>
        <v>5.2482758620689657E-2</v>
      </c>
      <c r="I61" s="35">
        <f ca="1">I25/$B$5</f>
        <v>4.4827586206896551E-2</v>
      </c>
      <c r="J61" s="35">
        <f ca="1">J25/$B$5</f>
        <v>0</v>
      </c>
      <c r="K61" s="35">
        <f ca="1">K25/$B$5</f>
        <v>0</v>
      </c>
      <c r="M61" s="6"/>
    </row>
    <row r="62" spans="1:26">
      <c r="A62" s="29" t="s">
        <v>71</v>
      </c>
      <c r="B62" s="30">
        <f>B16/B20</f>
        <v>1.6034828481301837</v>
      </c>
      <c r="C62" s="30">
        <f>C16/C20</f>
        <v>1.8103639195133034</v>
      </c>
      <c r="D62" s="30">
        <f>D16/D20</f>
        <v>1.8768605105307412</v>
      </c>
      <c r="E62" s="30">
        <f>E16/E20</f>
        <v>1.9300963855186921</v>
      </c>
      <c r="G62" s="36" t="s">
        <v>72</v>
      </c>
      <c r="H62" s="37">
        <f>H22/$B$7/1000</f>
        <v>9.2052333333333333E-3</v>
      </c>
      <c r="I62" s="37">
        <f>I22/$B$7/1000</f>
        <v>8.2818222222222227E-3</v>
      </c>
      <c r="J62" s="37">
        <f>J22/$B$7/1000</f>
        <v>7.2584777777777772E-3</v>
      </c>
      <c r="K62" s="37">
        <f>K22/$B$7/1000</f>
        <v>6.331377777777778E-3</v>
      </c>
      <c r="M62" s="6"/>
    </row>
    <row r="63" spans="1:26">
      <c r="A63" s="6"/>
      <c r="G63" s="36" t="s">
        <v>73</v>
      </c>
      <c r="H63" s="37">
        <f>B20/$B$7/1000</f>
        <v>1.6706633333333332E-2</v>
      </c>
      <c r="I63" s="37">
        <f>C20/$B$7/1000</f>
        <v>1.5111400000000001E-2</v>
      </c>
      <c r="J63" s="37">
        <f>D20/$B$7/1000</f>
        <v>1.3029577777777778E-2</v>
      </c>
      <c r="K63" s="37">
        <f>E20/$B$7/1000</f>
        <v>1.1404433333333333E-2</v>
      </c>
      <c r="M63" s="6"/>
    </row>
    <row r="64" spans="1:26">
      <c r="A64" s="6"/>
      <c r="G64" s="33" t="s">
        <v>74</v>
      </c>
      <c r="H64" s="38">
        <f>SQRT(22.5*H62*H63)</f>
        <v>5.8823807306863429E-2</v>
      </c>
      <c r="I64" s="38">
        <f>SQRT(22.5*I62*I63)</f>
        <v>5.3064803659299449E-2</v>
      </c>
      <c r="J64" s="38">
        <f>SQRT(22.5*J62*J63)</f>
        <v>4.612954874005501E-2</v>
      </c>
      <c r="K64" s="38">
        <f>SQRT(22.5*K62*K63)</f>
        <v>4.0306698636000116E-2</v>
      </c>
      <c r="M64" s="6"/>
    </row>
    <row r="65" spans="1:13">
      <c r="A65" s="6"/>
      <c r="G65" s="33" t="s">
        <v>75</v>
      </c>
      <c r="H65" s="39">
        <f>H62-(B20*0.08/1000/$B$7)</f>
        <v>7.8687026666666663E-3</v>
      </c>
      <c r="I65" s="39">
        <f>I62-(C20*0.08/1000/$B$7)</f>
        <v>7.0729102222222224E-3</v>
      </c>
      <c r="J65" s="39">
        <f>J62-(D20*0.08/1000/$B$7)</f>
        <v>6.2161115555555545E-3</v>
      </c>
      <c r="K65" s="39">
        <f>K62-(E20*0.08/1000/$B$7)</f>
        <v>5.419023111111111E-3</v>
      </c>
      <c r="M65" s="6"/>
    </row>
    <row r="66" spans="1:13">
      <c r="A66" s="6"/>
      <c r="G66" s="40" t="s">
        <v>76</v>
      </c>
      <c r="H66" s="41">
        <f>H25/$B$7/1000</f>
        <v>7.6100000000000004E-3</v>
      </c>
      <c r="I66" s="41">
        <f>I25/$B$7/1000</f>
        <v>6.4999999999999997E-3</v>
      </c>
      <c r="J66" s="41">
        <f>J25/$B$7/1000</f>
        <v>0</v>
      </c>
      <c r="K66" s="41">
        <f>K25/$B$7/1000</f>
        <v>0</v>
      </c>
      <c r="M66" s="6"/>
    </row>
    <row r="67" spans="1:13">
      <c r="A67" s="2"/>
      <c r="G67" s="6"/>
      <c r="M67" s="6"/>
    </row>
    <row r="68" spans="1:13">
      <c r="A68" s="6"/>
      <c r="G68" s="2" t="s">
        <v>85</v>
      </c>
      <c r="H68" s="73">
        <f>SUM(H66:J66)</f>
        <v>1.4110000000000001E-2</v>
      </c>
      <c r="M68" s="6"/>
    </row>
    <row r="69" spans="1:13">
      <c r="A69" s="6"/>
      <c r="G69" s="2" t="s">
        <v>105</v>
      </c>
      <c r="H69" s="6">
        <f>I55/H55</f>
        <v>1.0202714835718891</v>
      </c>
      <c r="I69" s="6">
        <f>J55/I55</f>
        <v>0.97403164134185261</v>
      </c>
      <c r="J69" s="6">
        <f>K55/J55</f>
        <v>0.98852244922532639</v>
      </c>
      <c r="M69" s="6"/>
    </row>
    <row r="70" spans="1:13">
      <c r="A70" s="6"/>
      <c r="G70" s="2" t="s">
        <v>106</v>
      </c>
      <c r="H70" s="6">
        <f>H11/I11</f>
        <v>1.118738004988135</v>
      </c>
      <c r="I70" s="6">
        <f>I11/J11</f>
        <v>1.0869895202173856</v>
      </c>
      <c r="J70" s="6">
        <f>J11/K11</f>
        <v>1.1312951316900204</v>
      </c>
      <c r="M70" s="6"/>
    </row>
    <row r="71" spans="1:13">
      <c r="A71" s="6"/>
      <c r="G71" s="2" t="s">
        <v>107</v>
      </c>
      <c r="H71" s="6">
        <f>(N13/152738)/(O13/140619)</f>
        <v>0.15718531081657891</v>
      </c>
      <c r="I71" s="6">
        <f>(O13/I11)/(P13/J11)</f>
        <v>-8.7422455815536289</v>
      </c>
      <c r="J71" s="6">
        <f>(P13/J11)/(Q13/K11)</f>
        <v>0.35119244293489943</v>
      </c>
      <c r="M71" s="6"/>
    </row>
    <row r="72" spans="1:13">
      <c r="A72" s="6"/>
      <c r="G72" s="2" t="s">
        <v>108</v>
      </c>
      <c r="H72" s="6">
        <f t="shared" ref="H72:J73" si="6">H56/I56</f>
        <v>0.9249691771153038</v>
      </c>
      <c r="I72" s="6">
        <f t="shared" si="6"/>
        <v>1.004221536684103</v>
      </c>
      <c r="J72" s="6">
        <f t="shared" si="6"/>
        <v>0.97827535513641006</v>
      </c>
      <c r="M72" s="6"/>
    </row>
    <row r="73" spans="1:13">
      <c r="A73" s="6"/>
      <c r="G73" s="2" t="s">
        <v>109</v>
      </c>
      <c r="H73" s="6">
        <f t="shared" si="6"/>
        <v>0.4005445517008559</v>
      </c>
      <c r="I73" s="6">
        <f t="shared" si="6"/>
        <v>0.98452614708071196</v>
      </c>
      <c r="J73" s="6">
        <f t="shared" si="6"/>
        <v>1.0164495236426276</v>
      </c>
      <c r="M73" s="6"/>
    </row>
    <row r="74" spans="1:13">
      <c r="A74" s="6"/>
      <c r="G74" s="2" t="s">
        <v>110</v>
      </c>
      <c r="H74" s="6">
        <f>B62/C62</f>
        <v>0.88572404191598264</v>
      </c>
      <c r="I74" s="6">
        <f>C62/D62</f>
        <v>0.96457030735937122</v>
      </c>
      <c r="J74" s="6">
        <f>D62/E62</f>
        <v>0.97241802254676291</v>
      </c>
      <c r="M74" s="6"/>
    </row>
    <row r="75" spans="1:13">
      <c r="A75" s="6"/>
      <c r="G75" s="2" t="s">
        <v>111</v>
      </c>
      <c r="H75" s="6">
        <f>((1-B11)/B16)/((1-C11)/C16)</f>
        <v>0.77213630214869344</v>
      </c>
      <c r="I75" s="6">
        <f>((1-C11)/C16)/((1-D11)/D16)</f>
        <v>1.253429319122342</v>
      </c>
      <c r="J75" s="6">
        <f>((1-D11)/D16)/((1-E11)/E16)</f>
        <v>0.88971938437941978</v>
      </c>
      <c r="M75" s="6"/>
    </row>
    <row r="76" spans="1:13">
      <c r="A76" s="6"/>
      <c r="G76" s="2" t="s">
        <v>112</v>
      </c>
      <c r="H76" s="6">
        <f>((H13-H16-H17)-N24)/B16</f>
        <v>-4.1991429254016603E-2</v>
      </c>
      <c r="I76" s="6">
        <f>((I13-I16-I17)-O24)/C16</f>
        <v>-3.327630981478729E-2</v>
      </c>
      <c r="J76" s="6">
        <f>((J13-J16-J17)-P24)/D16</f>
        <v>2.5731022848141438E-2</v>
      </c>
      <c r="K76" s="6">
        <f>((K13-K16-K17)-Q24)/E16</f>
        <v>4.7903913532678895E-3</v>
      </c>
      <c r="M76" s="6"/>
    </row>
    <row r="77" spans="1:13">
      <c r="A77" s="6"/>
      <c r="G77" s="2" t="s">
        <v>113</v>
      </c>
      <c r="H77" s="6">
        <f>-4.84 + 0.92 *H71  + 0.528 *H69 + 0.404 *H75 + 0.892 *H70 + 0.115 *H73 - 0.172 *H72- 0.327 *H74 + 4.697 *H76</f>
        <v>-3.446726384136177</v>
      </c>
      <c r="I77" s="6">
        <f>-4.84 + 0.92 *I71  + 0.528 *I69 + 0.404 *I75 + 0.892 *I70 + 0.115 *I73 - 0.172 *I72- 0.327 *I74 + 4.697 *I76</f>
        <v>-11.423816046543459</v>
      </c>
      <c r="J77" s="6">
        <f>-4.84 + 0.92 *J71  + 0.528 *J69 + 0.404 *J75 + 0.892 *J70 + 0.115 *J73 - 0.172 *J72- 0.327 *J74 + 4.697 *J76</f>
        <v>-2.8748949554717678</v>
      </c>
      <c r="M77" s="6"/>
    </row>
    <row r="78" spans="1:13">
      <c r="A78" s="6"/>
      <c r="G78" s="6"/>
      <c r="H78" s="6" t="str">
        <f>IF(H77&gt;-2.22,"CARE","Good")</f>
        <v>Good</v>
      </c>
      <c r="I78" s="6" t="str">
        <f>IF(I77&gt;-2.22,"CARE","Good")</f>
        <v>Good</v>
      </c>
      <c r="J78" s="6" t="str">
        <f>IF(J77&gt;-2.22,"CARE","Good")</f>
        <v>Good</v>
      </c>
      <c r="M78" s="6"/>
    </row>
    <row r="79" spans="1:13">
      <c r="A79" s="6"/>
      <c r="G79" s="2" t="s">
        <v>86</v>
      </c>
      <c r="H79" s="6">
        <f ca="1">H63*$B$7/$B$5</f>
        <v>1.1521816091954021E-4</v>
      </c>
      <c r="I79" s="6">
        <f ca="1">I63*$B$7/$B$5</f>
        <v>1.0421655172413794E-4</v>
      </c>
      <c r="J79" s="6">
        <f ca="1">J63*$B$7/$B$5</f>
        <v>8.9859157088122602E-5</v>
      </c>
      <c r="K79" s="6">
        <f ca="1">K63*$B$7/$B$5</f>
        <v>7.8651264367816107E-5</v>
      </c>
      <c r="M79" s="6"/>
    </row>
    <row r="80" spans="1:13">
      <c r="A80" s="6"/>
      <c r="G80" s="2" t="s">
        <v>87</v>
      </c>
      <c r="M80" s="6"/>
    </row>
    <row r="81" spans="1:13">
      <c r="A81" s="6"/>
      <c r="G81" s="2" t="s">
        <v>88</v>
      </c>
      <c r="M81" s="6"/>
    </row>
    <row r="82" spans="1:13" ht="15" customHeight="1">
      <c r="A82" s="6"/>
      <c r="G82" s="2" t="s">
        <v>89</v>
      </c>
      <c r="H82" s="74">
        <f ca="1">(H15-H16)/$B$6</f>
        <v>6.5568379544170947E-5</v>
      </c>
      <c r="I82" s="74">
        <f ca="1">(I15-I16)/$B$6</f>
        <v>5.9277298352183293E-5</v>
      </c>
      <c r="J82" s="74">
        <f ca="1">(J15-J16)/$B$6</f>
        <v>5.2434872070469325E-5</v>
      </c>
      <c r="K82" s="74">
        <f ca="1">(K15-K16)/$B$6</f>
        <v>4.5684553752320472E-5</v>
      </c>
      <c r="M82" s="6"/>
    </row>
    <row r="83" spans="1:13" ht="15" customHeight="1">
      <c r="A83" s="6"/>
      <c r="G83" s="2" t="s">
        <v>122</v>
      </c>
      <c r="H83" s="74">
        <f ca="1">$B$6/H20</f>
        <v>15317.650651679907</v>
      </c>
      <c r="I83" s="74">
        <f ca="1">$B$6/(I15-I16)</f>
        <v>16869.864649679472</v>
      </c>
      <c r="J83" s="74">
        <f ca="1">$B$6/(J15-J16)</f>
        <v>19071.277577564411</v>
      </c>
      <c r="K83" s="74">
        <f ca="1">$B$6/(K15-K16)</f>
        <v>21889.23646757098</v>
      </c>
      <c r="M83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zoomScaleNormal="100" workbookViewId="0"/>
  </sheetViews>
  <sheetFormatPr defaultRowHeight="15"/>
  <cols>
    <col min="1" max="6" width="15.140625"/>
    <col min="7" max="7" width="22.5703125"/>
    <col min="8" max="12" width="15.140625"/>
    <col min="13" max="13" width="23.140625"/>
    <col min="14" max="26" width="15.140625"/>
    <col min="27" max="1025" width="14.42578125"/>
  </cols>
  <sheetData>
    <row r="1" spans="1:17">
      <c r="A1" s="2"/>
      <c r="G1" s="6"/>
      <c r="M1" s="6"/>
    </row>
    <row r="2" spans="1:17">
      <c r="A2" s="2"/>
      <c r="G2" s="6"/>
      <c r="M2" s="6"/>
    </row>
    <row r="3" spans="1:17">
      <c r="A3" s="2"/>
      <c r="G3" s="6"/>
      <c r="M3" s="6"/>
    </row>
    <row r="4" spans="1:17">
      <c r="A4" s="2"/>
      <c r="G4" s="6"/>
      <c r="M4" s="6"/>
    </row>
    <row r="5" spans="1:17">
      <c r="A5" s="2" t="s">
        <v>0</v>
      </c>
      <c r="B5" s="75">
        <v>4716.45</v>
      </c>
      <c r="C5" s="6">
        <f>H11/1000/B7</f>
        <v>134.12893333333332</v>
      </c>
      <c r="D5" s="6">
        <f>104/C5</f>
        <v>0.77537334723703666</v>
      </c>
      <c r="G5" s="6"/>
      <c r="M5" s="6"/>
    </row>
    <row r="6" spans="1:17">
      <c r="A6" s="2" t="s">
        <v>1</v>
      </c>
      <c r="B6" s="4">
        <f>B5*1000+(B22-B20)-N23</f>
        <v>6376562</v>
      </c>
      <c r="G6" s="6"/>
      <c r="M6" s="6"/>
    </row>
    <row r="7" spans="1:17">
      <c r="A7" s="2" t="s">
        <v>2</v>
      </c>
      <c r="B7" s="62">
        <v>45</v>
      </c>
      <c r="G7" s="6"/>
      <c r="M7" s="6"/>
    </row>
    <row r="8" spans="1:17">
      <c r="G8" s="6"/>
      <c r="M8" s="6"/>
    </row>
    <row r="9" spans="1:17">
      <c r="G9" s="6"/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596776</v>
      </c>
      <c r="C11" s="56">
        <v>320637</v>
      </c>
      <c r="D11" s="56">
        <v>200636</v>
      </c>
      <c r="E11" s="56">
        <v>143364</v>
      </c>
      <c r="G11" s="25" t="s">
        <v>7</v>
      </c>
      <c r="H11" s="56">
        <v>6035802</v>
      </c>
      <c r="I11" s="56">
        <v>5251902</v>
      </c>
      <c r="J11" s="56">
        <v>4579962</v>
      </c>
      <c r="K11" s="56">
        <v>4266177</v>
      </c>
      <c r="M11" s="25" t="s">
        <v>8</v>
      </c>
      <c r="N11" s="56">
        <v>230875</v>
      </c>
      <c r="O11" s="56">
        <v>214779</v>
      </c>
      <c r="P11" s="56">
        <v>192506</v>
      </c>
      <c r="Q11" s="56">
        <v>171766</v>
      </c>
    </row>
    <row r="12" spans="1:17">
      <c r="A12" s="25" t="s">
        <v>9</v>
      </c>
      <c r="B12" s="56">
        <v>603996</v>
      </c>
      <c r="C12" s="56">
        <v>465506</v>
      </c>
      <c r="D12" s="56">
        <v>368010</v>
      </c>
      <c r="E12" s="56">
        <v>321790</v>
      </c>
      <c r="G12" s="25" t="s">
        <v>10</v>
      </c>
      <c r="H12" s="56">
        <v>5037330</v>
      </c>
      <c r="I12" s="56">
        <v>4380775</v>
      </c>
      <c r="J12" s="56">
        <v>3808816</v>
      </c>
      <c r="K12" s="56">
        <v>3940929</v>
      </c>
      <c r="M12" s="25" t="s">
        <v>11</v>
      </c>
      <c r="N12" s="56">
        <v>129094</v>
      </c>
      <c r="O12" s="56">
        <v>102926</v>
      </c>
      <c r="P12" s="56">
        <v>91358</v>
      </c>
      <c r="Q12" s="56">
        <v>84706</v>
      </c>
    </row>
    <row r="13" spans="1:17">
      <c r="A13" s="25" t="s">
        <v>12</v>
      </c>
      <c r="B13" s="56">
        <v>186290</v>
      </c>
      <c r="C13" s="56">
        <v>196288</v>
      </c>
      <c r="D13" s="56">
        <v>193568</v>
      </c>
      <c r="E13" s="56">
        <v>174018</v>
      </c>
      <c r="G13" s="25" t="s">
        <v>13</v>
      </c>
      <c r="H13" s="56">
        <v>998472</v>
      </c>
      <c r="I13" s="56">
        <v>871127</v>
      </c>
      <c r="J13" s="56">
        <f>J11-J12</f>
        <v>771146</v>
      </c>
      <c r="K13" s="56">
        <f>K11-K12</f>
        <v>325248</v>
      </c>
      <c r="M13" s="25" t="s">
        <v>14</v>
      </c>
      <c r="N13" s="56">
        <v>93</v>
      </c>
      <c r="O13" s="58">
        <v>-109</v>
      </c>
      <c r="P13" s="57">
        <v>0</v>
      </c>
      <c r="Q13" s="57">
        <v>0</v>
      </c>
    </row>
    <row r="14" spans="1:17">
      <c r="A14" s="25" t="s">
        <v>15</v>
      </c>
      <c r="B14" s="56">
        <v>1695753</v>
      </c>
      <c r="C14" s="56">
        <v>1359676</v>
      </c>
      <c r="D14" s="56">
        <v>1224918</v>
      </c>
      <c r="E14" s="56">
        <v>1112377</v>
      </c>
      <c r="G14" s="25" t="s">
        <v>16</v>
      </c>
      <c r="H14" s="56">
        <v>95965</v>
      </c>
      <c r="I14" s="56">
        <v>77306</v>
      </c>
      <c r="J14" s="56">
        <v>83969</v>
      </c>
      <c r="K14" s="56">
        <v>31232</v>
      </c>
      <c r="M14" s="25" t="s">
        <v>9</v>
      </c>
      <c r="N14" s="58">
        <v>-94340</v>
      </c>
      <c r="O14" s="58">
        <v>-97496</v>
      </c>
      <c r="P14" s="58">
        <v>-46220</v>
      </c>
      <c r="Q14" s="58">
        <v>-10436</v>
      </c>
    </row>
    <row r="15" spans="1:17">
      <c r="A15" s="25" t="s">
        <v>17</v>
      </c>
      <c r="B15" s="56">
        <v>11359</v>
      </c>
      <c r="C15" s="56">
        <v>13107</v>
      </c>
      <c r="D15" s="56">
        <v>14906</v>
      </c>
      <c r="E15" s="56">
        <v>11877</v>
      </c>
      <c r="G15" s="25" t="s">
        <v>18</v>
      </c>
      <c r="H15" s="56">
        <v>1094437</v>
      </c>
      <c r="I15" s="56">
        <v>948433</v>
      </c>
      <c r="J15" s="56">
        <v>855115</v>
      </c>
      <c r="K15" s="56">
        <v>356480</v>
      </c>
      <c r="M15" s="25" t="s">
        <v>19</v>
      </c>
      <c r="N15" s="58">
        <v>-86560</v>
      </c>
      <c r="O15" s="58">
        <v>-46842</v>
      </c>
      <c r="P15" s="58">
        <v>-10420</v>
      </c>
      <c r="Q15" s="56">
        <v>25579</v>
      </c>
    </row>
    <row r="16" spans="1:17">
      <c r="A16" s="25" t="s">
        <v>20</v>
      </c>
      <c r="B16" s="56">
        <v>3094174</v>
      </c>
      <c r="C16" s="56">
        <v>2355214</v>
      </c>
      <c r="D16" s="56">
        <v>2002038</v>
      </c>
      <c r="E16" s="56">
        <v>1763426</v>
      </c>
      <c r="G16" s="25" t="s">
        <v>21</v>
      </c>
      <c r="H16" s="56">
        <v>730868</v>
      </c>
      <c r="I16" s="56">
        <v>625664</v>
      </c>
      <c r="J16" s="56">
        <v>565603</v>
      </c>
      <c r="K16" s="56">
        <v>164952</v>
      </c>
      <c r="M16" s="25" t="s">
        <v>22</v>
      </c>
      <c r="N16" s="56">
        <v>63513</v>
      </c>
      <c r="O16" s="56">
        <v>221150</v>
      </c>
      <c r="P16" s="56">
        <v>138286</v>
      </c>
      <c r="Q16" s="58">
        <v>-14775</v>
      </c>
    </row>
    <row r="17" spans="1:26">
      <c r="A17" s="25" t="s">
        <v>23</v>
      </c>
      <c r="B17" s="56">
        <v>1451977</v>
      </c>
      <c r="C17" s="56">
        <v>1219385</v>
      </c>
      <c r="D17" s="56">
        <v>1011167</v>
      </c>
      <c r="E17" s="56">
        <v>941053</v>
      </c>
      <c r="G17" s="25" t="s">
        <v>11</v>
      </c>
      <c r="H17" s="56">
        <v>129094</v>
      </c>
      <c r="I17" s="56">
        <v>102926</v>
      </c>
      <c r="J17" s="56">
        <v>92537</v>
      </c>
      <c r="K17" s="56">
        <v>15082</v>
      </c>
      <c r="M17" s="25" t="s">
        <v>24</v>
      </c>
      <c r="N17" s="58">
        <v>-26752</v>
      </c>
      <c r="O17" s="58">
        <v>-19937</v>
      </c>
      <c r="P17" s="58">
        <v>-27501</v>
      </c>
      <c r="Q17" s="58">
        <v>-29222</v>
      </c>
    </row>
    <row r="18" spans="1:26">
      <c r="A18" s="25" t="s">
        <v>25</v>
      </c>
      <c r="B18" s="56">
        <v>469445</v>
      </c>
      <c r="C18" s="56">
        <v>181579</v>
      </c>
      <c r="D18" s="56">
        <v>183491</v>
      </c>
      <c r="E18" s="56">
        <v>141927</v>
      </c>
      <c r="G18" s="25" t="s">
        <v>26</v>
      </c>
      <c r="H18" s="58">
        <v>-1723</v>
      </c>
      <c r="I18" s="58">
        <v>-225</v>
      </c>
      <c r="J18" s="58">
        <v>-130</v>
      </c>
      <c r="K18" s="56">
        <v>930</v>
      </c>
      <c r="M18" s="25" t="s">
        <v>27</v>
      </c>
      <c r="N18" s="58">
        <v>-424647</v>
      </c>
      <c r="O18" s="58">
        <v>-235776</v>
      </c>
      <c r="P18" s="58">
        <v>-206929</v>
      </c>
      <c r="Q18" s="58">
        <v>-112727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858239</v>
      </c>
      <c r="I19" s="56">
        <v>728365</v>
      </c>
      <c r="J19" s="56">
        <v>658010</v>
      </c>
      <c r="K19" s="56">
        <v>180964</v>
      </c>
      <c r="M19" s="25" t="s">
        <v>30</v>
      </c>
      <c r="N19" s="56">
        <v>27625</v>
      </c>
      <c r="O19" s="56">
        <v>16807</v>
      </c>
      <c r="P19" s="56">
        <v>9880</v>
      </c>
      <c r="Q19" s="58">
        <v>-25973</v>
      </c>
    </row>
    <row r="20" spans="1:26">
      <c r="A20" s="25" t="s">
        <v>31</v>
      </c>
      <c r="B20" s="56">
        <v>1104636</v>
      </c>
      <c r="C20" s="56">
        <v>952605</v>
      </c>
      <c r="D20" s="56">
        <v>805510</v>
      </c>
      <c r="E20" s="56">
        <v>680446</v>
      </c>
      <c r="G20" s="25" t="s">
        <v>32</v>
      </c>
      <c r="H20" s="56">
        <v>236198</v>
      </c>
      <c r="I20" s="56">
        <v>220068</v>
      </c>
      <c r="J20" s="56">
        <v>197105</v>
      </c>
      <c r="K20" s="56">
        <v>175516</v>
      </c>
      <c r="M20" s="25" t="s">
        <v>33</v>
      </c>
      <c r="N20" s="56">
        <v>372329</v>
      </c>
      <c r="O20" s="58">
        <v>-14844</v>
      </c>
      <c r="P20" s="58">
        <v>-26608</v>
      </c>
      <c r="Q20" s="58">
        <v>-46558</v>
      </c>
    </row>
    <row r="21" spans="1:26">
      <c r="A21" s="25" t="s">
        <v>34</v>
      </c>
      <c r="B21" s="56">
        <v>68116</v>
      </c>
      <c r="C21" s="56">
        <v>1645</v>
      </c>
      <c r="D21" s="56">
        <v>1870</v>
      </c>
      <c r="E21" s="59"/>
      <c r="G21" s="25" t="s">
        <v>35</v>
      </c>
      <c r="H21" s="56">
        <v>5323</v>
      </c>
      <c r="I21" s="56">
        <v>5289</v>
      </c>
      <c r="J21" s="56">
        <v>4600</v>
      </c>
      <c r="K21" s="56">
        <v>3750</v>
      </c>
      <c r="M21" s="25" t="s">
        <v>36</v>
      </c>
      <c r="N21" s="58">
        <v>-45699</v>
      </c>
      <c r="O21" s="58">
        <v>-67500</v>
      </c>
      <c r="P21" s="58">
        <v>-67500</v>
      </c>
      <c r="Q21" s="58">
        <v>-22500</v>
      </c>
    </row>
    <row r="22" spans="1:26">
      <c r="A22" s="25" t="s">
        <v>37</v>
      </c>
      <c r="B22" s="56">
        <v>3094174</v>
      </c>
      <c r="C22" s="56">
        <v>2355214</v>
      </c>
      <c r="D22" s="56">
        <v>2002038</v>
      </c>
      <c r="E22" s="56">
        <v>1763426</v>
      </c>
      <c r="G22" s="25" t="s">
        <v>8</v>
      </c>
      <c r="H22" s="56">
        <v>230875</v>
      </c>
      <c r="I22" s="56">
        <v>214779</v>
      </c>
      <c r="J22" s="56">
        <v>192505</v>
      </c>
      <c r="K22" s="56">
        <v>171766</v>
      </c>
      <c r="M22" s="25" t="s">
        <v>38</v>
      </c>
      <c r="N22" s="56">
        <v>183895</v>
      </c>
      <c r="O22" s="56">
        <v>110331</v>
      </c>
      <c r="P22" s="56">
        <v>63479</v>
      </c>
      <c r="Q22" s="56">
        <v>43619</v>
      </c>
    </row>
    <row r="23" spans="1:26">
      <c r="B23" s="4">
        <f>B11+B12</f>
        <v>1200772</v>
      </c>
      <c r="C23" s="4">
        <f>C11+C12</f>
        <v>786143</v>
      </c>
      <c r="D23" s="4">
        <f>D11+D12</f>
        <v>568646</v>
      </c>
      <c r="E23" s="4">
        <f>E11+E12</f>
        <v>465154</v>
      </c>
      <c r="G23" s="25" t="s">
        <v>39</v>
      </c>
      <c r="H23" s="56">
        <v>481176</v>
      </c>
      <c r="I23" s="56">
        <v>474512</v>
      </c>
      <c r="J23" s="56">
        <v>368757</v>
      </c>
      <c r="K23" s="56">
        <v>236667</v>
      </c>
      <c r="M23" s="25" t="s">
        <v>40</v>
      </c>
      <c r="N23" s="56">
        <v>329426</v>
      </c>
      <c r="O23" s="56">
        <v>183489</v>
      </c>
      <c r="P23" s="56">
        <v>110331</v>
      </c>
      <c r="Q23" s="56">
        <v>63479</v>
      </c>
    </row>
    <row r="24" spans="1:26">
      <c r="B24" s="6">
        <f>B16/(B22-B20)</f>
        <v>1.5552223682080966</v>
      </c>
      <c r="C24" s="6">
        <f>C16/(C22-C20)</f>
        <v>1.6791664676328186</v>
      </c>
      <c r="D24" s="6">
        <f>D16/(D22-D20)</f>
        <v>1.6732061431073908</v>
      </c>
      <c r="E24" s="6">
        <f>E16/(E22-E20)</f>
        <v>1.6283089253725831</v>
      </c>
      <c r="G24" s="25" t="s">
        <v>41</v>
      </c>
      <c r="H24" s="56">
        <v>23087</v>
      </c>
      <c r="I24" s="56">
        <v>21478</v>
      </c>
      <c r="J24" s="56">
        <v>19250</v>
      </c>
      <c r="K24" s="56">
        <v>17176</v>
      </c>
      <c r="M24" s="2" t="s">
        <v>42</v>
      </c>
      <c r="N24" s="12">
        <f>SUM(N11:N17)</f>
        <v>215923</v>
      </c>
      <c r="O24" s="12">
        <f>SUM(O11:O17)</f>
        <v>374471</v>
      </c>
      <c r="P24" s="12">
        <f>SUM(P11:P17)</f>
        <v>338009</v>
      </c>
      <c r="Q24" s="12">
        <f>SUM(Q11:Q17)</f>
        <v>227618</v>
      </c>
    </row>
    <row r="25" spans="1:26">
      <c r="B25" s="6">
        <f>B24/B5*1000</f>
        <v>0.3297442712650609</v>
      </c>
      <c r="G25" s="25" t="s">
        <v>43</v>
      </c>
      <c r="H25" s="57"/>
      <c r="I25" s="57"/>
      <c r="J25" s="57"/>
      <c r="K25" s="57"/>
      <c r="M25" s="2" t="s">
        <v>44</v>
      </c>
      <c r="N25" s="12">
        <f>N18+N19</f>
        <v>-397022</v>
      </c>
      <c r="O25" s="12">
        <f>O18+O19</f>
        <v>-218969</v>
      </c>
      <c r="P25" s="12">
        <f>P18+P19</f>
        <v>-197049</v>
      </c>
      <c r="Q25" s="12">
        <f>Q18+Q19</f>
        <v>-138700</v>
      </c>
    </row>
    <row r="26" spans="1:26">
      <c r="G26" s="25" t="s">
        <v>45</v>
      </c>
      <c r="H26" s="56">
        <v>78750</v>
      </c>
      <c r="I26" s="56">
        <v>186637</v>
      </c>
      <c r="J26" s="56">
        <v>67500</v>
      </c>
      <c r="K26" s="56">
        <v>22500</v>
      </c>
      <c r="M26" s="2" t="s">
        <v>46</v>
      </c>
      <c r="N26" s="12">
        <f>N20+N21</f>
        <v>326630</v>
      </c>
      <c r="O26" s="12">
        <f>O20+O21</f>
        <v>-82344</v>
      </c>
      <c r="P26" s="12">
        <f>P20+P21</f>
        <v>-94108</v>
      </c>
      <c r="Q26" s="12">
        <f>Q20+Q21</f>
        <v>-69058</v>
      </c>
    </row>
    <row r="27" spans="1:26">
      <c r="G27" s="25" t="s">
        <v>47</v>
      </c>
      <c r="H27" s="56">
        <v>610214</v>
      </c>
      <c r="I27" s="56">
        <v>481176</v>
      </c>
      <c r="J27" s="56">
        <v>474512</v>
      </c>
      <c r="K27" s="56">
        <v>368757</v>
      </c>
      <c r="M27" s="2" t="s">
        <v>48</v>
      </c>
      <c r="N27" s="12">
        <f>N24+N25+N26</f>
        <v>145531</v>
      </c>
      <c r="O27" s="12">
        <f>O24+O25+O26</f>
        <v>73158</v>
      </c>
      <c r="P27" s="12">
        <f>P24+P25+P26</f>
        <v>46852</v>
      </c>
      <c r="Q27" s="12">
        <f>Q24+Q25+Q26</f>
        <v>19860</v>
      </c>
    </row>
    <row r="28" spans="1:26">
      <c r="G28" s="6"/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0.19287085988053679</v>
      </c>
      <c r="C30" s="24">
        <f t="shared" si="0"/>
        <v>0.13613922131916675</v>
      </c>
      <c r="D30" s="24">
        <f t="shared" si="0"/>
        <v>0.10021588001826139</v>
      </c>
      <c r="E30" s="24">
        <f t="shared" si="0"/>
        <v>8.1298563137891813E-2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3.8250923406698896E-2</v>
      </c>
      <c r="O30" s="26">
        <f t="shared" ref="O30:O42" si="3">O11/I$11</f>
        <v>4.0895469869772896E-2</v>
      </c>
      <c r="P30" s="26">
        <f t="shared" ref="P30:P42" si="4">P11/J$11</f>
        <v>4.2032226468254538E-2</v>
      </c>
      <c r="Q30" s="26">
        <f t="shared" ref="Q30:Q42" si="5">Q11/K$11</f>
        <v>4.0262276975381005E-2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0.19520427745821664</v>
      </c>
      <c r="C31" s="24">
        <f t="shared" si="0"/>
        <v>0.19764913082208241</v>
      </c>
      <c r="D31" s="24">
        <f t="shared" si="0"/>
        <v>0.18381768977412016</v>
      </c>
      <c r="E31" s="24">
        <f t="shared" si="0"/>
        <v>0.18248001333767336</v>
      </c>
      <c r="F31" s="6"/>
      <c r="G31" s="25" t="s">
        <v>10</v>
      </c>
      <c r="H31" s="24">
        <f t="shared" si="1"/>
        <v>0.83457509043537215</v>
      </c>
      <c r="I31" s="24">
        <f t="shared" si="1"/>
        <v>0.83413113953763796</v>
      </c>
      <c r="J31" s="24">
        <f t="shared" si="1"/>
        <v>0.8316261139284562</v>
      </c>
      <c r="K31" s="24">
        <f t="shared" si="1"/>
        <v>0.92376125041225432</v>
      </c>
      <c r="L31" s="6"/>
      <c r="M31" s="25" t="s">
        <v>11</v>
      </c>
      <c r="N31" s="26">
        <f t="shared" si="2"/>
        <v>2.1388044206884189E-2</v>
      </c>
      <c r="O31" s="26">
        <f t="shared" si="3"/>
        <v>1.9597852359012031E-2</v>
      </c>
      <c r="P31" s="26">
        <f t="shared" si="4"/>
        <v>1.9947327073892754E-2</v>
      </c>
      <c r="Q31" s="26">
        <f t="shared" si="5"/>
        <v>1.9855247449883116E-2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6.0206698136562459E-2</v>
      </c>
      <c r="C32" s="24">
        <f t="shared" si="0"/>
        <v>8.3341895895659587E-2</v>
      </c>
      <c r="D32" s="24">
        <f t="shared" si="0"/>
        <v>9.6685477498429095E-2</v>
      </c>
      <c r="E32" s="24">
        <f t="shared" si="0"/>
        <v>9.8681770598822979E-2</v>
      </c>
      <c r="F32" s="6"/>
      <c r="G32" s="25" t="s">
        <v>13</v>
      </c>
      <c r="H32" s="24">
        <f t="shared" si="1"/>
        <v>0.16542490956462785</v>
      </c>
      <c r="I32" s="24">
        <f t="shared" si="1"/>
        <v>0.16586886046236202</v>
      </c>
      <c r="J32" s="24">
        <f t="shared" si="1"/>
        <v>0.16837388607154383</v>
      </c>
      <c r="K32" s="24">
        <f t="shared" si="1"/>
        <v>7.6238749587745652E-2</v>
      </c>
      <c r="L32" s="6"/>
      <c r="M32" s="25" t="s">
        <v>14</v>
      </c>
      <c r="N32" s="26">
        <f t="shared" si="2"/>
        <v>1.5408060105351369E-5</v>
      </c>
      <c r="O32" s="26">
        <f t="shared" si="3"/>
        <v>-2.0754385744440775E-5</v>
      </c>
      <c r="P32" s="26">
        <f t="shared" si="4"/>
        <v>0</v>
      </c>
      <c r="Q32" s="26">
        <f t="shared" si="5"/>
        <v>0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0.54804707169021527</v>
      </c>
      <c r="C33" s="24">
        <f t="shared" si="0"/>
        <v>0.57730465257084917</v>
      </c>
      <c r="D33" s="24">
        <f t="shared" si="0"/>
        <v>0.61183553958516268</v>
      </c>
      <c r="E33" s="24">
        <f t="shared" si="0"/>
        <v>0.63080446812057889</v>
      </c>
      <c r="F33" s="6"/>
      <c r="G33" s="25" t="s">
        <v>16</v>
      </c>
      <c r="H33" s="24">
        <f t="shared" si="1"/>
        <v>1.5899295570000475E-2</v>
      </c>
      <c r="I33" s="24">
        <f t="shared" si="1"/>
        <v>1.4719619673025125E-2</v>
      </c>
      <c r="J33" s="24">
        <f t="shared" si="1"/>
        <v>1.8333994910874805E-2</v>
      </c>
      <c r="K33" s="24">
        <f t="shared" si="1"/>
        <v>7.3208401807988745E-3</v>
      </c>
      <c r="L33" s="6"/>
      <c r="M33" s="25" t="s">
        <v>9</v>
      </c>
      <c r="N33" s="26">
        <f t="shared" si="2"/>
        <v>-1.5630068713320948E-2</v>
      </c>
      <c r="O33" s="26">
        <f t="shared" si="3"/>
        <v>-1.8563941215963282E-2</v>
      </c>
      <c r="P33" s="26">
        <f t="shared" si="4"/>
        <v>-1.0091786787750641E-2</v>
      </c>
      <c r="Q33" s="26">
        <f t="shared" si="5"/>
        <v>-2.4462182417654024E-3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3.6710928344689084E-3</v>
      </c>
      <c r="C34" s="24">
        <f t="shared" si="0"/>
        <v>5.5650993922420639E-3</v>
      </c>
      <c r="D34" s="24">
        <f t="shared" si="0"/>
        <v>7.4454131240266168E-3</v>
      </c>
      <c r="E34" s="24">
        <f t="shared" si="0"/>
        <v>6.73518480503293E-3</v>
      </c>
      <c r="F34" s="6"/>
      <c r="G34" s="25" t="s">
        <v>18</v>
      </c>
      <c r="H34" s="24">
        <f t="shared" si="1"/>
        <v>0.18132420513462835</v>
      </c>
      <c r="I34" s="24">
        <f t="shared" si="1"/>
        <v>0.18058848013538714</v>
      </c>
      <c r="J34" s="24">
        <f t="shared" si="1"/>
        <v>0.18670788098241864</v>
      </c>
      <c r="K34" s="24">
        <f t="shared" si="1"/>
        <v>8.3559589768544537E-2</v>
      </c>
      <c r="L34" s="6"/>
      <c r="M34" s="25" t="s">
        <v>19</v>
      </c>
      <c r="N34" s="26">
        <f t="shared" si="2"/>
        <v>-1.4341093362572199E-2</v>
      </c>
      <c r="O34" s="26">
        <f t="shared" si="3"/>
        <v>-8.9190544682669244E-3</v>
      </c>
      <c r="P34" s="26">
        <f t="shared" si="4"/>
        <v>-2.2751280469139263E-3</v>
      </c>
      <c r="Q34" s="26">
        <f t="shared" si="5"/>
        <v>5.9957662328590676E-3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0.12108879648470908</v>
      </c>
      <c r="I35" s="24">
        <f t="shared" si="1"/>
        <v>0.11913093580192471</v>
      </c>
      <c r="J35" s="24">
        <f t="shared" si="1"/>
        <v>0.12349512943557174</v>
      </c>
      <c r="K35" s="24">
        <f t="shared" si="1"/>
        <v>3.8665062420054304E-2</v>
      </c>
      <c r="L35" s="6"/>
      <c r="M35" s="25" t="s">
        <v>22</v>
      </c>
      <c r="N35" s="26">
        <f t="shared" si="2"/>
        <v>1.0522710983561091E-2</v>
      </c>
      <c r="O35" s="26">
        <f t="shared" si="3"/>
        <v>4.2108554196175027E-2</v>
      </c>
      <c r="P35" s="26">
        <f t="shared" si="4"/>
        <v>3.01937002970767E-2</v>
      </c>
      <c r="Q35" s="26">
        <f t="shared" si="5"/>
        <v>-3.4632880914223672E-3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0.4692615864524749</v>
      </c>
      <c r="C36" s="24">
        <f t="shared" si="0"/>
        <v>0.51773851548097116</v>
      </c>
      <c r="D36" s="24">
        <f t="shared" si="0"/>
        <v>0.50506883485728038</v>
      </c>
      <c r="E36" s="24">
        <f t="shared" si="0"/>
        <v>0.53365040551744158</v>
      </c>
      <c r="F36" s="6"/>
      <c r="G36" s="25" t="s">
        <v>11</v>
      </c>
      <c r="H36" s="24">
        <f t="shared" si="1"/>
        <v>2.1388044206884189E-2</v>
      </c>
      <c r="I36" s="24">
        <f t="shared" si="1"/>
        <v>1.9597852359012031E-2</v>
      </c>
      <c r="J36" s="24">
        <f t="shared" si="1"/>
        <v>2.0204752790525336E-2</v>
      </c>
      <c r="K36" s="24">
        <f t="shared" si="1"/>
        <v>3.5352494751155427E-3</v>
      </c>
      <c r="L36" s="6"/>
      <c r="M36" s="25" t="s">
        <v>24</v>
      </c>
      <c r="N36" s="26">
        <f t="shared" si="2"/>
        <v>-4.4322196122404279E-3</v>
      </c>
      <c r="O36" s="26">
        <f t="shared" si="3"/>
        <v>-3.7961485191460162E-3</v>
      </c>
      <c r="P36" s="26">
        <f t="shared" si="4"/>
        <v>-6.004634972953924E-3</v>
      </c>
      <c r="Q36" s="26">
        <f t="shared" si="5"/>
        <v>-6.849692359224664E-3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0.15171900481356251</v>
      </c>
      <c r="C37" s="24">
        <f t="shared" si="0"/>
        <v>7.7096603535814587E-2</v>
      </c>
      <c r="D37" s="24">
        <f t="shared" si="0"/>
        <v>9.1652106503472955E-2</v>
      </c>
      <c r="E37" s="24">
        <f t="shared" si="0"/>
        <v>8.0483672124602904E-2</v>
      </c>
      <c r="F37" s="6"/>
      <c r="G37" s="25" t="s">
        <v>26</v>
      </c>
      <c r="H37" s="24">
        <f t="shared" si="1"/>
        <v>-2.8546330711312265E-4</v>
      </c>
      <c r="I37" s="24">
        <f t="shared" si="1"/>
        <v>-4.2841621949533709E-5</v>
      </c>
      <c r="J37" s="24">
        <f t="shared" si="1"/>
        <v>-2.8384514980691979E-5</v>
      </c>
      <c r="K37" s="24">
        <f t="shared" si="1"/>
        <v>2.1799376819105256E-4</v>
      </c>
      <c r="L37" s="6"/>
      <c r="M37" s="25" t="s">
        <v>27</v>
      </c>
      <c r="N37" s="26">
        <f t="shared" si="2"/>
        <v>-7.0354693543625182E-2</v>
      </c>
      <c r="O37" s="26">
        <f t="shared" si="3"/>
        <v>-4.489345003010338E-2</v>
      </c>
      <c r="P37" s="26">
        <f t="shared" si="4"/>
        <v>-4.5181379234150852E-2</v>
      </c>
      <c r="Q37" s="26">
        <f t="shared" si="5"/>
        <v>-2.6423423125669657E-2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0.14219137738448015</v>
      </c>
      <c r="I38" s="24">
        <f t="shared" si="1"/>
        <v>0.13868594653898722</v>
      </c>
      <c r="J38" s="24">
        <f t="shared" si="1"/>
        <v>0.14367149771111637</v>
      </c>
      <c r="K38" s="24">
        <f t="shared" si="1"/>
        <v>4.2418305663360897E-2</v>
      </c>
      <c r="L38" s="6"/>
      <c r="M38" s="25" t="s">
        <v>30</v>
      </c>
      <c r="N38" s="26">
        <f t="shared" si="2"/>
        <v>4.5768565635519523E-3</v>
      </c>
      <c r="O38" s="26">
        <f t="shared" si="3"/>
        <v>3.2001739560258359E-3</v>
      </c>
      <c r="P38" s="26">
        <f t="shared" si="4"/>
        <v>2.1572231385325906E-3</v>
      </c>
      <c r="Q38" s="26">
        <f t="shared" si="5"/>
        <v>-6.0881205819636646E-3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0.35700513287229485</v>
      </c>
      <c r="C39" s="24">
        <f t="shared" si="0"/>
        <v>0.40446643065131238</v>
      </c>
      <c r="D39" s="24">
        <f t="shared" si="0"/>
        <v>0.40234501043436738</v>
      </c>
      <c r="E39" s="24">
        <f t="shared" si="0"/>
        <v>0.38586592235795547</v>
      </c>
      <c r="F39" s="6"/>
      <c r="G39" s="25" t="s">
        <v>32</v>
      </c>
      <c r="H39" s="24">
        <f t="shared" si="1"/>
        <v>3.9132827750148202E-2</v>
      </c>
      <c r="I39" s="24">
        <f t="shared" si="1"/>
        <v>4.1902533596399935E-2</v>
      </c>
      <c r="J39" s="24">
        <f t="shared" si="1"/>
        <v>4.3036383271302249E-2</v>
      </c>
      <c r="K39" s="24">
        <f t="shared" si="1"/>
        <v>4.1141284105183633E-2</v>
      </c>
      <c r="L39" s="6"/>
      <c r="M39" s="25" t="s">
        <v>33</v>
      </c>
      <c r="N39" s="26">
        <f t="shared" si="2"/>
        <v>6.1686748505003976E-2</v>
      </c>
      <c r="O39" s="26">
        <f t="shared" si="3"/>
        <v>-2.8264046054172374E-3</v>
      </c>
      <c r="P39" s="26">
        <f t="shared" si="4"/>
        <v>-5.8096551892788629E-3</v>
      </c>
      <c r="Q39" s="26">
        <f t="shared" si="5"/>
        <v>-1.0913283719826907E-2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2.2014275861667768E-2</v>
      </c>
      <c r="C40" s="24">
        <f t="shared" si="0"/>
        <v>6.9845033190189939E-4</v>
      </c>
      <c r="D40" s="24">
        <f t="shared" si="0"/>
        <v>9.340482048792281E-4</v>
      </c>
      <c r="E40" s="24">
        <f t="shared" si="0"/>
        <v>0</v>
      </c>
      <c r="F40" s="6"/>
      <c r="G40" s="25" t="s">
        <v>35</v>
      </c>
      <c r="H40" s="24">
        <f t="shared" si="1"/>
        <v>8.8190434344930467E-4</v>
      </c>
      <c r="I40" s="24">
        <f t="shared" si="1"/>
        <v>1.007063726627039E-3</v>
      </c>
      <c r="J40" s="24">
        <f t="shared" si="1"/>
        <v>1.0043751454706393E-3</v>
      </c>
      <c r="K40" s="24">
        <f t="shared" si="1"/>
        <v>8.7900712980263122E-4</v>
      </c>
      <c r="L40" s="6"/>
      <c r="M40" s="25" t="s">
        <v>36</v>
      </c>
      <c r="N40" s="26">
        <f t="shared" si="2"/>
        <v>-7.5713219220908835E-3</v>
      </c>
      <c r="O40" s="26">
        <f t="shared" si="3"/>
        <v>-1.2852486584860113E-2</v>
      </c>
      <c r="P40" s="26">
        <f t="shared" si="4"/>
        <v>-1.4738113547666989E-2</v>
      </c>
      <c r="Q40" s="26">
        <f t="shared" si="5"/>
        <v>-5.2740427788157875E-3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3.8250923406698896E-2</v>
      </c>
      <c r="I41" s="24">
        <f t="shared" si="1"/>
        <v>4.0895469869772896E-2</v>
      </c>
      <c r="J41" s="24">
        <f t="shared" si="1"/>
        <v>4.2032008125831612E-2</v>
      </c>
      <c r="K41" s="24">
        <f t="shared" si="1"/>
        <v>4.0262276975381005E-2</v>
      </c>
      <c r="L41" s="6"/>
      <c r="M41" s="25" t="s">
        <v>38</v>
      </c>
      <c r="N41" s="26">
        <f t="shared" si="2"/>
        <v>3.0467367882511719E-2</v>
      </c>
      <c r="O41" s="26">
        <f t="shared" si="3"/>
        <v>2.1007817739173353E-2</v>
      </c>
      <c r="P41" s="26">
        <f t="shared" si="4"/>
        <v>1.3860158665071894E-2</v>
      </c>
      <c r="Q41" s="26">
        <f t="shared" si="5"/>
        <v>1.0224376531962925E-2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7.9720308916694085E-2</v>
      </c>
      <c r="I42" s="24">
        <f t="shared" si="1"/>
        <v>9.0350505397853956E-2</v>
      </c>
      <c r="J42" s="24">
        <f t="shared" si="1"/>
        <v>8.0515296851807944E-2</v>
      </c>
      <c r="K42" s="24">
        <f t="shared" si="1"/>
        <v>5.5475194770399819E-2</v>
      </c>
      <c r="L42" s="6"/>
      <c r="M42" s="25" t="s">
        <v>40</v>
      </c>
      <c r="N42" s="26">
        <f t="shared" si="2"/>
        <v>5.4578662454467526E-2</v>
      </c>
      <c r="O42" s="26">
        <f t="shared" si="3"/>
        <v>3.4937628310657741E-2</v>
      </c>
      <c r="P42" s="26">
        <f t="shared" si="4"/>
        <v>2.4089937864113283E-2</v>
      </c>
      <c r="Q42" s="26">
        <f t="shared" si="5"/>
        <v>1.4879598291397662E-2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3.8250095016370651E-3</v>
      </c>
      <c r="I43" s="24">
        <f t="shared" si="1"/>
        <v>4.0895660276981556E-3</v>
      </c>
      <c r="J43" s="24">
        <f t="shared" si="1"/>
        <v>4.203091641371697E-3</v>
      </c>
      <c r="K43" s="24">
        <f t="shared" si="1"/>
        <v>4.0260870563973315E-3</v>
      </c>
      <c r="L43" s="6"/>
      <c r="M43" s="2" t="s">
        <v>49</v>
      </c>
      <c r="N43" s="26">
        <f>N24/H11</f>
        <v>3.5773704969115951E-2</v>
      </c>
      <c r="O43" s="26">
        <f>O24/I11</f>
        <v>7.1301977835839289E-2</v>
      </c>
      <c r="P43" s="26">
        <f>P24/J11</f>
        <v>7.3801704031605506E-2</v>
      </c>
      <c r="Q43" s="26">
        <f>Q24/K11</f>
        <v>5.3354091965710754E-2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</v>
      </c>
      <c r="I44" s="24">
        <f t="shared" si="1"/>
        <v>0</v>
      </c>
      <c r="J44" s="24">
        <f t="shared" si="1"/>
        <v>0</v>
      </c>
      <c r="K44" s="24">
        <f t="shared" si="1"/>
        <v>0</v>
      </c>
      <c r="L44" s="6"/>
      <c r="M44" s="2" t="s">
        <v>50</v>
      </c>
      <c r="N44" s="26">
        <f>N24/B16</f>
        <v>6.9783729033984512E-2</v>
      </c>
      <c r="O44" s="26">
        <f>O24/C16</f>
        <v>0.15899659224172411</v>
      </c>
      <c r="P44" s="26">
        <f>P24/D16</f>
        <v>0.16883245972354172</v>
      </c>
      <c r="Q44" s="26">
        <f>Q24/E16</f>
        <v>0.12907714868670417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1.3047147669853982E-2</v>
      </c>
      <c r="I45" s="24">
        <f t="shared" si="1"/>
        <v>3.5537030203533881E-2</v>
      </c>
      <c r="J45" s="24">
        <f t="shared" si="1"/>
        <v>1.4738113547666989E-2</v>
      </c>
      <c r="K45" s="24">
        <f t="shared" si="1"/>
        <v>5.2740427788157875E-3</v>
      </c>
      <c r="L45" s="6"/>
      <c r="M45" s="2" t="s">
        <v>51</v>
      </c>
      <c r="N45" s="26">
        <f>N24/B20</f>
        <v>0.19546981992258083</v>
      </c>
      <c r="O45" s="26">
        <f>O24/C20</f>
        <v>0.39310207273738851</v>
      </c>
      <c r="P45" s="26">
        <f>P24/D20</f>
        <v>0.41962110960757781</v>
      </c>
      <c r="Q45" s="26">
        <f>Q24/E20</f>
        <v>0.33451295179926105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0.10109907515190193</v>
      </c>
      <c r="I46" s="24">
        <f t="shared" si="1"/>
        <v>9.1619379036394819E-2</v>
      </c>
      <c r="J46" s="24">
        <f t="shared" si="1"/>
        <v>0.10360609978860087</v>
      </c>
      <c r="K46" s="24">
        <f t="shared" si="1"/>
        <v>8.6437341910567705E-2</v>
      </c>
      <c r="L46" s="6"/>
      <c r="M46" s="2" t="s">
        <v>52</v>
      </c>
      <c r="N46" s="26">
        <f>N24/H22</f>
        <v>0.9352376827287493</v>
      </c>
      <c r="O46" s="26">
        <f>O24/I22</f>
        <v>1.7435177554602639</v>
      </c>
      <c r="P46" s="26">
        <f>P24/J22</f>
        <v>1.7558453027194099</v>
      </c>
      <c r="Q46" s="26">
        <f>Q24/K22</f>
        <v>1.3251633035641512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0.1085292163306255</v>
      </c>
      <c r="O47" s="26">
        <f>O24/(C22-C20)</f>
        <v>0.26698174616019149</v>
      </c>
      <c r="P47" s="26">
        <f>P24/(D22-D20)</f>
        <v>0.28249150876536111</v>
      </c>
      <c r="Q47" s="26">
        <f>Q24/(E22-E20)</f>
        <v>0.21017747326820441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G48" s="6"/>
      <c r="M48" s="2" t="s">
        <v>54</v>
      </c>
      <c r="N48" s="26" t="e">
        <f>N24/H25</f>
        <v>#DIV/0!</v>
      </c>
      <c r="O48" s="26" t="e">
        <f>O24/I25</f>
        <v>#DIV/0!</v>
      </c>
      <c r="P48" s="26" t="e">
        <f>P24/J25</f>
        <v>#DIV/0!</v>
      </c>
      <c r="Q48" s="26" t="e">
        <f>Q24/K25</f>
        <v>#DIV/0!</v>
      </c>
    </row>
    <row r="49" spans="1:17">
      <c r="G49" s="6"/>
      <c r="M49" s="2" t="s">
        <v>55</v>
      </c>
      <c r="N49" s="26">
        <f>N24/N18</f>
        <v>-0.50847645220618543</v>
      </c>
      <c r="O49" s="26">
        <f>O24/O18</f>
        <v>-1.588249016015201</v>
      </c>
      <c r="P49" s="26">
        <f>P24/P18</f>
        <v>-1.6334539866330964</v>
      </c>
      <c r="Q49" s="26">
        <f>Q24/Q18</f>
        <v>-2.0191968206374691</v>
      </c>
    </row>
    <row r="50" spans="1:17">
      <c r="G50" s="2" t="s">
        <v>56</v>
      </c>
      <c r="H50" s="28">
        <f>LN(H22/I22)</f>
        <v>7.2266846027167611E-2</v>
      </c>
      <c r="I50" s="28">
        <f>LN(I22/J22)</f>
        <v>0.10948746507574274</v>
      </c>
      <c r="J50" s="28">
        <f>LN(J22/K22)</f>
        <v>0.11398904199218934</v>
      </c>
      <c r="M50" s="6"/>
    </row>
    <row r="51" spans="1:17">
      <c r="A51" s="29" t="s">
        <v>57</v>
      </c>
      <c r="B51" s="30">
        <f>B11/B17</f>
        <v>0.41100926529827952</v>
      </c>
      <c r="C51" s="30">
        <f>C11/C17</f>
        <v>0.26294976566055839</v>
      </c>
      <c r="D51" s="30">
        <f>D11/D17</f>
        <v>0.19842024116688933</v>
      </c>
      <c r="E51" s="30">
        <f>E11/E17</f>
        <v>0.15234423565941557</v>
      </c>
      <c r="G51" s="29" t="s">
        <v>58</v>
      </c>
      <c r="H51" s="63">
        <f>H13/H11</f>
        <v>0.16542490956462785</v>
      </c>
      <c r="I51" s="63">
        <f>I13/I11</f>
        <v>0.16586886046236202</v>
      </c>
      <c r="J51" s="63">
        <f>J13/J11</f>
        <v>0.16837388607154383</v>
      </c>
      <c r="K51" s="63">
        <f>K13/K11</f>
        <v>7.6238749587745652E-2</v>
      </c>
      <c r="M51" s="6"/>
    </row>
    <row r="52" spans="1:17">
      <c r="A52" s="29" t="s">
        <v>60</v>
      </c>
      <c r="B52" s="31">
        <f>H20/B16</f>
        <v>7.6336366345266943E-2</v>
      </c>
      <c r="C52" s="31">
        <f>I20/C16</f>
        <v>9.3438642942849356E-2</v>
      </c>
      <c r="D52" s="31">
        <f>J20/D16</f>
        <v>9.8452177231401206E-2</v>
      </c>
      <c r="E52" s="31">
        <f>K20/E16</f>
        <v>9.9531253367025327E-2</v>
      </c>
      <c r="F52" s="31"/>
      <c r="G52" s="29" t="s">
        <v>61</v>
      </c>
      <c r="H52" s="63">
        <f>H16/H11</f>
        <v>0.12108879648470908</v>
      </c>
      <c r="I52" s="63">
        <f>I16/I11</f>
        <v>0.11913093580192471</v>
      </c>
      <c r="J52" s="63">
        <f>J16/J11</f>
        <v>0.12349512943557174</v>
      </c>
      <c r="K52" s="63">
        <f>K16/K11</f>
        <v>3.8665062420054304E-2</v>
      </c>
      <c r="M52" s="6"/>
    </row>
    <row r="53" spans="1:17">
      <c r="A53" s="29" t="s">
        <v>62</v>
      </c>
      <c r="B53" s="31">
        <f>H20/B20</f>
        <v>0.21382428238804457</v>
      </c>
      <c r="C53" s="31">
        <f>I20/C20</f>
        <v>0.23101705323822572</v>
      </c>
      <c r="D53" s="31">
        <f>J20/D20</f>
        <v>0.24469590694094426</v>
      </c>
      <c r="E53" s="31">
        <f>K20/E20</f>
        <v>0.25794258471649478</v>
      </c>
      <c r="G53" s="29" t="s">
        <v>11</v>
      </c>
      <c r="H53" s="63">
        <f>H17/H11</f>
        <v>2.1388044206884189E-2</v>
      </c>
      <c r="I53" s="63">
        <f>I17/I11</f>
        <v>1.9597852359012031E-2</v>
      </c>
      <c r="J53" s="63">
        <f>J17/J11</f>
        <v>2.0204752790525336E-2</v>
      </c>
      <c r="K53" s="63">
        <f>K17/K11</f>
        <v>3.5352494751155427E-3</v>
      </c>
      <c r="L53" s="31"/>
      <c r="M53" s="6"/>
    </row>
    <row r="54" spans="1:17">
      <c r="A54" s="29" t="s">
        <v>63</v>
      </c>
      <c r="B54" s="30">
        <f>H11/B12</f>
        <v>9.9931158484493281</v>
      </c>
      <c r="C54" s="30">
        <f>I11/C12</f>
        <v>11.282135998247069</v>
      </c>
      <c r="D54" s="30">
        <f>J11/D12</f>
        <v>12.445210727969348</v>
      </c>
      <c r="E54" s="30">
        <f>K11/E12</f>
        <v>13.257643183442617</v>
      </c>
      <c r="G54" s="29" t="s">
        <v>64</v>
      </c>
      <c r="H54" s="63">
        <f>H25/H22</f>
        <v>0</v>
      </c>
      <c r="I54" s="63">
        <f>I25/I22</f>
        <v>0</v>
      </c>
      <c r="J54" s="63">
        <f>J25/J22</f>
        <v>0</v>
      </c>
      <c r="K54" s="63">
        <f>K25/K22</f>
        <v>0</v>
      </c>
      <c r="M54" s="6"/>
    </row>
    <row r="55" spans="1:17">
      <c r="A55" s="29" t="s">
        <v>65</v>
      </c>
      <c r="B55" s="31">
        <f>(B22-B20)/B16</f>
        <v>0.64299486712770515</v>
      </c>
      <c r="C55" s="31">
        <f>(C22-C20)/C16</f>
        <v>0.59553356934868762</v>
      </c>
      <c r="D55" s="31">
        <f>(D22-D20)/D16</f>
        <v>0.59765498956563257</v>
      </c>
      <c r="E55" s="31">
        <f>(E22-E20)/E16</f>
        <v>0.61413407764204453</v>
      </c>
      <c r="G55" s="29" t="s">
        <v>66</v>
      </c>
      <c r="H55" s="63">
        <f>H22/H11</f>
        <v>3.8250923406698896E-2</v>
      </c>
      <c r="I55" s="63">
        <f>I22/I11</f>
        <v>4.0895469869772896E-2</v>
      </c>
      <c r="J55" s="63">
        <f>J22/J11</f>
        <v>4.2032008125831612E-2</v>
      </c>
      <c r="K55" s="63">
        <f>K22/K11</f>
        <v>4.0262276975381005E-2</v>
      </c>
      <c r="M55" s="6"/>
    </row>
    <row r="56" spans="1:17">
      <c r="A56" s="29" t="s">
        <v>67</v>
      </c>
      <c r="B56" s="31">
        <f>(B22-B20)/B20</f>
        <v>1.8010801748268208</v>
      </c>
      <c r="C56" s="31">
        <f>(C22-C20)/C20</f>
        <v>1.4723930695303931</v>
      </c>
      <c r="D56" s="31">
        <f>(D22-D20)/D20</f>
        <v>1.4854291070253629</v>
      </c>
      <c r="E56" s="31">
        <f>(E22-E20)/E20</f>
        <v>1.5915737619149792</v>
      </c>
      <c r="G56" s="33" t="s">
        <v>68</v>
      </c>
      <c r="H56" s="34">
        <f>H13/B16</f>
        <v>0.3226941988394964</v>
      </c>
      <c r="I56" s="34">
        <f>I13/C16</f>
        <v>0.36987169743386378</v>
      </c>
      <c r="J56" s="34">
        <f>J13/D16</f>
        <v>0.38518050106941026</v>
      </c>
      <c r="K56" s="34">
        <f>K13/E16</f>
        <v>0.18444096888670122</v>
      </c>
      <c r="M56" s="6"/>
    </row>
    <row r="57" spans="1:17">
      <c r="A57" s="29" t="s">
        <v>69</v>
      </c>
      <c r="B57" s="30">
        <f>H11/B16</f>
        <v>1.9506989587528045</v>
      </c>
      <c r="C57" s="30">
        <f>I11/C16</f>
        <v>2.2299043738700601</v>
      </c>
      <c r="D57" s="30">
        <f>J11/D16</f>
        <v>2.287649884767422</v>
      </c>
      <c r="E57" s="30">
        <f>K11/E16</f>
        <v>2.4192549049407233</v>
      </c>
      <c r="G57" s="33" t="s">
        <v>70</v>
      </c>
      <c r="H57" s="35">
        <f>H25/$B$5</f>
        <v>0</v>
      </c>
      <c r="I57" s="35">
        <f>I25/$B$5</f>
        <v>0</v>
      </c>
      <c r="J57" s="35">
        <f>J25/$B$5</f>
        <v>0</v>
      </c>
      <c r="K57" s="35">
        <f>K25/$B$5</f>
        <v>0</v>
      </c>
      <c r="L57" s="65"/>
      <c r="M57" s="6"/>
    </row>
    <row r="58" spans="1:17">
      <c r="A58" s="29" t="s">
        <v>71</v>
      </c>
      <c r="B58" s="30">
        <f>B16/B20</f>
        <v>2.8010801748268208</v>
      </c>
      <c r="C58" s="30">
        <f>C16/C20</f>
        <v>2.4723930695303928</v>
      </c>
      <c r="D58" s="30">
        <f>D16/D20</f>
        <v>2.4854291070253627</v>
      </c>
      <c r="E58" s="30">
        <f>E16/E20</f>
        <v>2.5915737619149795</v>
      </c>
      <c r="G58" s="36" t="s">
        <v>72</v>
      </c>
      <c r="H58" s="37">
        <f>H22/$B$7/1000</f>
        <v>5.1305555555555555</v>
      </c>
      <c r="I58" s="37">
        <f>I22/$B$7/1000</f>
        <v>4.7728666666666664</v>
      </c>
      <c r="J58" s="37">
        <f>J22/$B$7/1000</f>
        <v>4.2778888888888886</v>
      </c>
      <c r="K58" s="37">
        <f>K22/$B$7/1000</f>
        <v>3.8170222222222225</v>
      </c>
      <c r="M58" s="6"/>
    </row>
    <row r="59" spans="1:17">
      <c r="G59" s="36" t="s">
        <v>73</v>
      </c>
      <c r="H59" s="37">
        <f>B20/$B$7/1000</f>
        <v>24.547466666666669</v>
      </c>
      <c r="I59" s="37">
        <f>C20/$B$7/1000</f>
        <v>21.169</v>
      </c>
      <c r="J59" s="37">
        <f>D20/$B$7/1000</f>
        <v>17.900222222222222</v>
      </c>
      <c r="K59" s="37">
        <f>E20/$B$7/1000</f>
        <v>15.121022222222221</v>
      </c>
      <c r="M59" s="6"/>
    </row>
    <row r="60" spans="1:17">
      <c r="G60" s="33" t="s">
        <v>74</v>
      </c>
      <c r="H60" s="38">
        <f>SQRT(22.5*H58*H59)</f>
        <v>53.232491800904207</v>
      </c>
      <c r="I60" s="38">
        <f>SQRT(22.5*I58*I59)</f>
        <v>47.679432940210184</v>
      </c>
      <c r="J60" s="38">
        <f>SQRT(22.5*J58*J59)</f>
        <v>41.508326146020927</v>
      </c>
      <c r="K60" s="38">
        <f>SQRT(22.5*K58*K59)</f>
        <v>36.036630690328295</v>
      </c>
      <c r="M60" s="6"/>
    </row>
    <row r="61" spans="1:17">
      <c r="G61" s="33" t="s">
        <v>75</v>
      </c>
      <c r="H61" s="39">
        <f>H58-(B20*0.08/1000/$B$7)</f>
        <v>3.1667582222222221</v>
      </c>
      <c r="I61" s="39">
        <f>I58-(C20*0.08/1000/$B$7)</f>
        <v>3.079346666666666</v>
      </c>
      <c r="J61" s="39">
        <f>J58-(D20*0.08/1000/$B$7)</f>
        <v>2.8458711111111112</v>
      </c>
      <c r="K61" s="39">
        <f>K58-(E20*0.08/1000/$B$7)</f>
        <v>2.6073404444444446</v>
      </c>
      <c r="M61" s="6"/>
    </row>
    <row r="62" spans="1:17">
      <c r="G62" s="40" t="s">
        <v>76</v>
      </c>
      <c r="H62" s="69">
        <v>2</v>
      </c>
      <c r="I62" s="69">
        <v>1.75</v>
      </c>
      <c r="J62" s="69">
        <v>1.5</v>
      </c>
      <c r="K62" s="41">
        <v>1.5</v>
      </c>
      <c r="M62" s="6"/>
    </row>
    <row r="63" spans="1:17" ht="15" customHeight="1">
      <c r="A63" s="2"/>
      <c r="G63" s="6"/>
      <c r="M63" s="6"/>
    </row>
    <row r="64" spans="1:17" ht="15" customHeight="1">
      <c r="G64" s="2" t="s">
        <v>85</v>
      </c>
      <c r="H64" s="47">
        <f>SUM(H62:J62)</f>
        <v>5.25</v>
      </c>
      <c r="M64" s="6"/>
    </row>
    <row r="65" spans="7:13">
      <c r="G65" s="6"/>
      <c r="M65" s="6"/>
    </row>
    <row r="66" spans="7:13">
      <c r="G66" s="6"/>
      <c r="M66" s="6"/>
    </row>
    <row r="67" spans="7:13">
      <c r="G67" s="6"/>
      <c r="M67" s="6"/>
    </row>
    <row r="68" spans="7:13">
      <c r="G68" s="6"/>
      <c r="M68" s="6"/>
    </row>
    <row r="69" spans="7:13">
      <c r="G69" s="6"/>
      <c r="M69" s="6"/>
    </row>
    <row r="70" spans="7:13">
      <c r="G70" s="6"/>
      <c r="M70" s="6"/>
    </row>
    <row r="71" spans="7:13">
      <c r="G71" s="6"/>
      <c r="M71" s="6"/>
    </row>
    <row r="72" spans="7:13">
      <c r="G72" s="2" t="s">
        <v>86</v>
      </c>
      <c r="H72" s="6">
        <f>H59*$B$7/$B$5</f>
        <v>0.23420920395636555</v>
      </c>
      <c r="I72" s="6">
        <f>I59*$B$7/$B$5</f>
        <v>0.20197500238526858</v>
      </c>
      <c r="J72" s="6">
        <f>J59*$B$7/$B$5</f>
        <v>0.17078735065568384</v>
      </c>
      <c r="K72" s="6">
        <f>K59*$B$7/$B$5</f>
        <v>0.14427079689173</v>
      </c>
      <c r="M72" s="6"/>
    </row>
    <row r="73" spans="7:13">
      <c r="G73" s="2" t="s">
        <v>87</v>
      </c>
      <c r="M73" s="6"/>
    </row>
    <row r="74" spans="7:13">
      <c r="G74" s="2" t="s">
        <v>88</v>
      </c>
      <c r="M74" s="6"/>
    </row>
    <row r="75" spans="7:13">
      <c r="G75" s="2" t="s">
        <v>89</v>
      </c>
      <c r="H75" s="28">
        <f>(H15-H16)/$B$6</f>
        <v>5.7016461221579905E-2</v>
      </c>
      <c r="I75" s="28">
        <f>(I15-I16)/$B$6</f>
        <v>5.0618028962942728E-2</v>
      </c>
      <c r="J75" s="28">
        <f>(J15-J16)/$B$6</f>
        <v>4.5402522550553104E-2</v>
      </c>
      <c r="K75" s="28">
        <f>(K15-K16)/$B$6</f>
        <v>3.0036248373339739E-2</v>
      </c>
      <c r="M75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6" width="15.140625"/>
    <col min="7" max="7" width="22.5703125"/>
    <col min="8" max="12" width="15.140625"/>
    <col min="13" max="13" width="23.140625"/>
    <col min="14" max="26" width="15.140625"/>
    <col min="27" max="1025" width="14.42578125"/>
  </cols>
  <sheetData>
    <row r="1" spans="1:17">
      <c r="A1" s="2"/>
      <c r="G1" s="6"/>
      <c r="M1" s="6"/>
    </row>
    <row r="2" spans="1:17">
      <c r="A2" s="2"/>
      <c r="G2" s="6"/>
      <c r="M2" s="6"/>
    </row>
    <row r="3" spans="1:17">
      <c r="A3" s="2"/>
      <c r="G3" s="6"/>
      <c r="M3" s="6"/>
    </row>
    <row r="4" spans="1:17">
      <c r="A4" s="2"/>
      <c r="G4" s="6"/>
      <c r="M4" s="6"/>
    </row>
    <row r="5" spans="1:17">
      <c r="A5" s="2" t="s">
        <v>0</v>
      </c>
      <c r="B5" s="75">
        <v>1397.6</v>
      </c>
      <c r="C5" s="6">
        <f>H11/1000/B7</f>
        <v>57.574800000000003</v>
      </c>
      <c r="D5" s="6">
        <f>35/C5</f>
        <v>0.60790484725956495</v>
      </c>
      <c r="G5" s="6"/>
      <c r="M5" s="6"/>
    </row>
    <row r="6" spans="1:17">
      <c r="A6" s="2" t="s">
        <v>1</v>
      </c>
      <c r="B6" s="4">
        <f>B5*1000+(B22-B20)-N23</f>
        <v>1995226</v>
      </c>
      <c r="G6" s="6"/>
      <c r="M6" s="6"/>
    </row>
    <row r="7" spans="1:17">
      <c r="A7" s="2" t="s">
        <v>2</v>
      </c>
      <c r="B7" s="62">
        <v>40</v>
      </c>
      <c r="G7" s="6"/>
      <c r="M7" s="6"/>
    </row>
    <row r="8" spans="1:17">
      <c r="G8" s="6"/>
      <c r="M8" s="6"/>
    </row>
    <row r="9" spans="1:17">
      <c r="G9" s="6"/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471433</v>
      </c>
      <c r="C11" s="56">
        <v>396114</v>
      </c>
      <c r="D11" s="56">
        <v>338452</v>
      </c>
      <c r="E11" s="56">
        <v>293707</v>
      </c>
      <c r="G11" s="25" t="s">
        <v>7</v>
      </c>
      <c r="H11" s="56">
        <v>2302992</v>
      </c>
      <c r="I11" s="56">
        <v>2144322</v>
      </c>
      <c r="J11" s="56">
        <v>1982683</v>
      </c>
      <c r="K11" s="56">
        <v>1873574</v>
      </c>
      <c r="M11" s="25" t="s">
        <v>8</v>
      </c>
      <c r="N11" s="56">
        <v>144035</v>
      </c>
      <c r="O11" s="56">
        <v>123724</v>
      </c>
      <c r="P11" s="56">
        <v>101692</v>
      </c>
      <c r="Q11" s="56">
        <v>95548</v>
      </c>
    </row>
    <row r="12" spans="1:17">
      <c r="A12" s="25" t="s">
        <v>9</v>
      </c>
      <c r="B12" s="56">
        <v>29194</v>
      </c>
      <c r="C12" s="56">
        <v>25113</v>
      </c>
      <c r="D12" s="56">
        <v>22927</v>
      </c>
      <c r="E12" s="56">
        <v>23343</v>
      </c>
      <c r="G12" s="25" t="s">
        <v>10</v>
      </c>
      <c r="H12" s="56">
        <v>2051148</v>
      </c>
      <c r="I12" s="56">
        <v>1917208</v>
      </c>
      <c r="J12" s="56">
        <v>1795035</v>
      </c>
      <c r="K12" s="56">
        <v>1702074</v>
      </c>
      <c r="M12" s="25" t="s">
        <v>11</v>
      </c>
      <c r="N12" s="56">
        <v>61713</v>
      </c>
      <c r="O12" s="56">
        <v>58125</v>
      </c>
      <c r="P12" s="56">
        <v>54298</v>
      </c>
      <c r="Q12" s="56">
        <v>58927</v>
      </c>
    </row>
    <row r="13" spans="1:17">
      <c r="A13" s="25" t="s">
        <v>12</v>
      </c>
      <c r="B13" s="56">
        <v>500</v>
      </c>
      <c r="C13" s="56">
        <v>19520</v>
      </c>
      <c r="D13" s="56">
        <v>9208</v>
      </c>
      <c r="E13" s="56">
        <v>250</v>
      </c>
      <c r="G13" s="25" t="s">
        <v>13</v>
      </c>
      <c r="H13" s="56">
        <v>251844</v>
      </c>
      <c r="I13" s="56">
        <v>227114</v>
      </c>
      <c r="J13" s="56">
        <v>187648</v>
      </c>
      <c r="K13" s="56">
        <v>171500</v>
      </c>
      <c r="M13" s="25" t="s">
        <v>14</v>
      </c>
      <c r="N13" s="58">
        <v>-59943</v>
      </c>
      <c r="O13" s="58">
        <v>-30336</v>
      </c>
      <c r="P13" s="58">
        <v>-16452</v>
      </c>
      <c r="Q13" s="58">
        <v>-2041</v>
      </c>
    </row>
    <row r="14" spans="1:17">
      <c r="A14" s="25" t="s">
        <v>15</v>
      </c>
      <c r="B14" s="56">
        <v>736383</v>
      </c>
      <c r="C14" s="56">
        <v>742816</v>
      </c>
      <c r="D14" s="56">
        <v>697019</v>
      </c>
      <c r="E14" s="56">
        <v>590125</v>
      </c>
      <c r="G14" s="25" t="s">
        <v>16</v>
      </c>
      <c r="H14" s="56">
        <v>12351</v>
      </c>
      <c r="I14" s="56">
        <v>1980</v>
      </c>
      <c r="J14" s="56">
        <v>4468</v>
      </c>
      <c r="K14" s="56">
        <v>942</v>
      </c>
      <c r="M14" s="25" t="s">
        <v>9</v>
      </c>
      <c r="N14" s="58">
        <v>-4761</v>
      </c>
      <c r="O14" s="58">
        <v>-2192</v>
      </c>
      <c r="P14" s="56">
        <v>253</v>
      </c>
      <c r="Q14" s="58">
        <v>-4794</v>
      </c>
    </row>
    <row r="15" spans="1:17">
      <c r="A15" s="25" t="s">
        <v>17</v>
      </c>
      <c r="B15" s="56">
        <v>21410</v>
      </c>
      <c r="C15" s="56">
        <v>21747</v>
      </c>
      <c r="D15" s="56">
        <v>21501</v>
      </c>
      <c r="E15" s="56">
        <v>20282</v>
      </c>
      <c r="G15" s="25" t="s">
        <v>18</v>
      </c>
      <c r="H15" s="56">
        <v>264195</v>
      </c>
      <c r="I15" s="56">
        <v>229094</v>
      </c>
      <c r="J15" s="56">
        <v>192116</v>
      </c>
      <c r="K15" s="56">
        <v>172442</v>
      </c>
      <c r="M15" s="25" t="s">
        <v>19</v>
      </c>
      <c r="N15" s="58">
        <v>-40182</v>
      </c>
      <c r="O15" s="56">
        <v>1825</v>
      </c>
      <c r="P15" s="58">
        <v>-11958</v>
      </c>
      <c r="Q15" s="56">
        <v>3916</v>
      </c>
    </row>
    <row r="16" spans="1:17">
      <c r="A16" s="25" t="s">
        <v>20</v>
      </c>
      <c r="B16" s="56">
        <v>1258920</v>
      </c>
      <c r="C16" s="56">
        <v>1205310</v>
      </c>
      <c r="D16" s="56">
        <v>1089107</v>
      </c>
      <c r="E16" s="56">
        <v>927707</v>
      </c>
      <c r="G16" s="25" t="s">
        <v>21</v>
      </c>
      <c r="H16" s="56">
        <v>100855</v>
      </c>
      <c r="I16" s="56">
        <v>84535</v>
      </c>
      <c r="J16" s="56">
        <v>74961</v>
      </c>
      <c r="K16" s="56">
        <v>63844</v>
      </c>
      <c r="M16" s="25" t="s">
        <v>22</v>
      </c>
      <c r="N16" s="56">
        <v>7283</v>
      </c>
      <c r="O16" s="56">
        <v>7762</v>
      </c>
      <c r="P16" s="56">
        <v>4974</v>
      </c>
      <c r="Q16" s="56">
        <v>18714</v>
      </c>
    </row>
    <row r="17" spans="1:26">
      <c r="A17" s="25" t="s">
        <v>23</v>
      </c>
      <c r="B17" s="56">
        <v>485748</v>
      </c>
      <c r="C17" s="56">
        <v>491882</v>
      </c>
      <c r="D17" s="56">
        <v>440081</v>
      </c>
      <c r="E17" s="56">
        <v>347005</v>
      </c>
      <c r="G17" s="25" t="s">
        <v>11</v>
      </c>
      <c r="H17" s="56">
        <v>4181</v>
      </c>
      <c r="I17" s="56">
        <v>4250</v>
      </c>
      <c r="J17" s="56">
        <v>3406</v>
      </c>
      <c r="K17" s="56">
        <v>2727</v>
      </c>
      <c r="M17" s="25" t="s">
        <v>24</v>
      </c>
      <c r="N17" s="56">
        <v>31159</v>
      </c>
      <c r="O17" s="56">
        <v>16338</v>
      </c>
      <c r="P17" s="56">
        <v>17488</v>
      </c>
      <c r="Q17" s="58">
        <v>-6294</v>
      </c>
    </row>
    <row r="18" spans="1:26">
      <c r="A18" s="25" t="s">
        <v>25</v>
      </c>
      <c r="B18" s="56">
        <v>130178</v>
      </c>
      <c r="C18" s="56">
        <v>133068</v>
      </c>
      <c r="D18" s="56">
        <v>130990</v>
      </c>
      <c r="E18" s="56">
        <v>102759</v>
      </c>
      <c r="G18" s="25" t="s">
        <v>26</v>
      </c>
      <c r="H18" s="56">
        <v>9974</v>
      </c>
      <c r="I18" s="56">
        <v>13525</v>
      </c>
      <c r="J18" s="56">
        <v>9837</v>
      </c>
      <c r="K18" s="56">
        <v>8300</v>
      </c>
      <c r="M18" s="25" t="s">
        <v>27</v>
      </c>
      <c r="N18" s="58">
        <v>-71324</v>
      </c>
      <c r="O18" s="58">
        <v>-108033</v>
      </c>
      <c r="P18" s="58">
        <v>-169918</v>
      </c>
      <c r="Q18" s="58">
        <v>-145920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115010</v>
      </c>
      <c r="I19" s="56">
        <v>102310</v>
      </c>
      <c r="J19" s="56">
        <v>88204</v>
      </c>
      <c r="K19" s="56">
        <v>74871</v>
      </c>
      <c r="M19" s="25" t="s">
        <v>30</v>
      </c>
      <c r="N19" s="56">
        <v>38608</v>
      </c>
      <c r="O19" s="58">
        <v>-15572</v>
      </c>
      <c r="P19" s="58">
        <v>-6744</v>
      </c>
      <c r="Q19" s="56">
        <v>3351</v>
      </c>
    </row>
    <row r="20" spans="1:26">
      <c r="A20" s="25" t="s">
        <v>31</v>
      </c>
      <c r="B20" s="56">
        <v>642994</v>
      </c>
      <c r="C20" s="56">
        <v>580360</v>
      </c>
      <c r="D20" s="56">
        <v>518036</v>
      </c>
      <c r="E20" s="56">
        <v>477943</v>
      </c>
      <c r="G20" s="25" t="s">
        <v>32</v>
      </c>
      <c r="H20" s="56">
        <v>149185</v>
      </c>
      <c r="I20" s="56">
        <v>126784</v>
      </c>
      <c r="J20" s="56">
        <v>103912</v>
      </c>
      <c r="K20" s="56">
        <v>97571</v>
      </c>
      <c r="M20" s="25" t="s">
        <v>33</v>
      </c>
      <c r="N20" s="57"/>
      <c r="O20" s="57"/>
      <c r="P20" s="57"/>
      <c r="Q20" s="57"/>
    </row>
    <row r="21" spans="1:26">
      <c r="A21" s="25" t="s">
        <v>34</v>
      </c>
      <c r="B21" s="57"/>
      <c r="C21" s="57"/>
      <c r="D21" s="57"/>
      <c r="E21" s="59"/>
      <c r="G21" s="25" t="s">
        <v>35</v>
      </c>
      <c r="H21" s="56">
        <v>5150</v>
      </c>
      <c r="I21" s="56">
        <v>3060</v>
      </c>
      <c r="J21" s="56">
        <v>2220</v>
      </c>
      <c r="K21" s="56">
        <v>2023</v>
      </c>
      <c r="M21" s="25" t="s">
        <v>36</v>
      </c>
      <c r="N21" s="58">
        <v>-123249</v>
      </c>
      <c r="O21" s="58">
        <v>-46090</v>
      </c>
      <c r="P21" s="56">
        <v>38676</v>
      </c>
      <c r="Q21" s="58">
        <v>-25725</v>
      </c>
    </row>
    <row r="22" spans="1:26">
      <c r="A22" s="25" t="s">
        <v>37</v>
      </c>
      <c r="B22" s="56">
        <v>1258920</v>
      </c>
      <c r="C22" s="56">
        <v>1205310</v>
      </c>
      <c r="D22" s="56">
        <v>1089107</v>
      </c>
      <c r="E22" s="56">
        <v>927707</v>
      </c>
      <c r="G22" s="25" t="s">
        <v>8</v>
      </c>
      <c r="H22" s="56">
        <v>144035</v>
      </c>
      <c r="I22" s="56">
        <v>123724</v>
      </c>
      <c r="J22" s="56">
        <v>101692</v>
      </c>
      <c r="K22" s="56">
        <v>95548</v>
      </c>
      <c r="M22" s="25" t="s">
        <v>38</v>
      </c>
      <c r="N22" s="56">
        <v>34961</v>
      </c>
      <c r="O22" s="56">
        <v>29410</v>
      </c>
      <c r="P22" s="56">
        <v>17101</v>
      </c>
      <c r="Q22" s="56">
        <v>21418</v>
      </c>
    </row>
    <row r="23" spans="1:26">
      <c r="G23" s="25" t="s">
        <v>39</v>
      </c>
      <c r="H23" s="56">
        <v>29952</v>
      </c>
      <c r="I23" s="57"/>
      <c r="J23" s="56">
        <v>63675</v>
      </c>
      <c r="K23" s="56">
        <v>39282</v>
      </c>
      <c r="M23" s="25" t="s">
        <v>40</v>
      </c>
      <c r="N23" s="56">
        <v>18300</v>
      </c>
      <c r="O23" s="56">
        <v>34961</v>
      </c>
      <c r="P23" s="56">
        <v>29410</v>
      </c>
      <c r="Q23" s="56">
        <v>17100</v>
      </c>
    </row>
    <row r="24" spans="1:26">
      <c r="G24" s="25" t="s">
        <v>41</v>
      </c>
      <c r="H24" s="56">
        <v>14404</v>
      </c>
      <c r="I24" s="56">
        <v>12372</v>
      </c>
      <c r="J24" s="56">
        <v>10169</v>
      </c>
      <c r="K24" s="56">
        <v>9555</v>
      </c>
      <c r="M24" s="2" t="s">
        <v>42</v>
      </c>
      <c r="N24" s="12">
        <f>SUM(N11:N17)</f>
        <v>139304</v>
      </c>
      <c r="O24" s="12">
        <f>SUM(O11:O17)</f>
        <v>175246</v>
      </c>
      <c r="P24" s="12">
        <f>SUM(P11:P17)</f>
        <v>150295</v>
      </c>
      <c r="Q24" s="12">
        <f>SUM(Q11:Q17)</f>
        <v>163976</v>
      </c>
    </row>
    <row r="25" spans="1:26">
      <c r="G25" s="25" t="s">
        <v>43</v>
      </c>
      <c r="H25" s="56">
        <v>80000</v>
      </c>
      <c r="I25" s="56">
        <v>80000</v>
      </c>
      <c r="J25" s="56">
        <v>60000</v>
      </c>
      <c r="K25" s="56">
        <v>60000</v>
      </c>
      <c r="M25" s="2" t="s">
        <v>44</v>
      </c>
      <c r="N25" s="12">
        <f>N18+N19</f>
        <v>-32716</v>
      </c>
      <c r="O25" s="12">
        <f>O18+O19</f>
        <v>-123605</v>
      </c>
      <c r="P25" s="12">
        <f>P18+P19</f>
        <v>-176662</v>
      </c>
      <c r="Q25" s="12">
        <f>Q18+Q19</f>
        <v>-142569</v>
      </c>
    </row>
    <row r="26" spans="1:26">
      <c r="G26" s="25" t="s">
        <v>45</v>
      </c>
      <c r="H26" s="57"/>
      <c r="I26" s="57"/>
      <c r="J26" s="56">
        <v>100000</v>
      </c>
      <c r="K26" s="57"/>
      <c r="M26" s="2" t="s">
        <v>46</v>
      </c>
      <c r="N26" s="12">
        <f>N20+N21</f>
        <v>-123249</v>
      </c>
      <c r="O26" s="12">
        <f>O20+O21</f>
        <v>-46090</v>
      </c>
      <c r="P26" s="12">
        <f>P20+P21</f>
        <v>38676</v>
      </c>
      <c r="Q26" s="12">
        <f>Q20+Q21</f>
        <v>-25725</v>
      </c>
    </row>
    <row r="27" spans="1:26">
      <c r="G27" s="25" t="s">
        <v>47</v>
      </c>
      <c r="H27" s="56">
        <v>79583</v>
      </c>
      <c r="I27" s="56">
        <v>31352</v>
      </c>
      <c r="J27" s="56">
        <v>95198</v>
      </c>
      <c r="K27" s="56">
        <v>65275</v>
      </c>
      <c r="M27" s="2" t="s">
        <v>48</v>
      </c>
      <c r="N27" s="12">
        <f>N24+N25+N26</f>
        <v>-16661</v>
      </c>
      <c r="O27" s="12">
        <f>O24+O25+O26</f>
        <v>5551</v>
      </c>
      <c r="P27" s="12">
        <f>P24+P25+P26</f>
        <v>12309</v>
      </c>
      <c r="Q27" s="12">
        <f>Q24+Q25+Q26</f>
        <v>-4318</v>
      </c>
    </row>
    <row r="28" spans="1:26">
      <c r="G28" s="6"/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0.37447415244813015</v>
      </c>
      <c r="C30" s="24">
        <f t="shared" si="0"/>
        <v>0.32864076461657166</v>
      </c>
      <c r="D30" s="24">
        <f t="shared" si="0"/>
        <v>0.31076101797160427</v>
      </c>
      <c r="E30" s="24">
        <f t="shared" si="0"/>
        <v>0.31659457134634106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6.2542553339308166E-2</v>
      </c>
      <c r="O30" s="26">
        <f t="shared" ref="O30:O42" si="3">O11/I$11</f>
        <v>5.769842402400386E-2</v>
      </c>
      <c r="P30" s="26">
        <f t="shared" ref="P30:P42" si="4">P11/J$11</f>
        <v>5.129009529006906E-2</v>
      </c>
      <c r="Q30" s="26">
        <f t="shared" ref="Q30:Q42" si="5">Q11/K$11</f>
        <v>5.099771879840348E-2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2.3189718171130809E-2</v>
      </c>
      <c r="C31" s="24">
        <f t="shared" si="0"/>
        <v>2.0835303780770094E-2</v>
      </c>
      <c r="D31" s="24">
        <f t="shared" si="0"/>
        <v>2.1051191480726872E-2</v>
      </c>
      <c r="E31" s="24">
        <f t="shared" si="0"/>
        <v>2.5162039307669339E-2</v>
      </c>
      <c r="F31" s="6"/>
      <c r="G31" s="25" t="s">
        <v>10</v>
      </c>
      <c r="H31" s="24">
        <f t="shared" si="1"/>
        <v>0.89064486546197297</v>
      </c>
      <c r="I31" s="24">
        <f t="shared" si="1"/>
        <v>0.89408586956623115</v>
      </c>
      <c r="J31" s="24">
        <f t="shared" si="1"/>
        <v>0.90535652951076895</v>
      </c>
      <c r="K31" s="24">
        <f t="shared" si="1"/>
        <v>0.90846371693885586</v>
      </c>
      <c r="L31" s="6"/>
      <c r="M31" s="25" t="s">
        <v>11</v>
      </c>
      <c r="N31" s="26">
        <f t="shared" si="2"/>
        <v>2.6796879884949665E-2</v>
      </c>
      <c r="O31" s="26">
        <f t="shared" si="3"/>
        <v>2.7106470017096315E-2</v>
      </c>
      <c r="P31" s="26">
        <f t="shared" si="4"/>
        <v>2.7386122743776994E-2</v>
      </c>
      <c r="Q31" s="26">
        <f t="shared" si="5"/>
        <v>3.145165336410518E-2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3.9716582467511834E-4</v>
      </c>
      <c r="C32" s="24">
        <f t="shared" si="0"/>
        <v>1.6195003774962458E-2</v>
      </c>
      <c r="D32" s="24">
        <f t="shared" si="0"/>
        <v>8.4546330158561094E-3</v>
      </c>
      <c r="E32" s="24">
        <f t="shared" si="0"/>
        <v>2.6948163590443964E-4</v>
      </c>
      <c r="F32" s="6"/>
      <c r="G32" s="25" t="s">
        <v>13</v>
      </c>
      <c r="H32" s="24">
        <f t="shared" si="1"/>
        <v>0.10935513453802706</v>
      </c>
      <c r="I32" s="24">
        <f t="shared" si="1"/>
        <v>0.10591413043376881</v>
      </c>
      <c r="J32" s="24">
        <f t="shared" si="1"/>
        <v>9.464347048923101E-2</v>
      </c>
      <c r="K32" s="24">
        <f t="shared" si="1"/>
        <v>9.15362830611441E-2</v>
      </c>
      <c r="L32" s="6"/>
      <c r="M32" s="25" t="s">
        <v>14</v>
      </c>
      <c r="N32" s="26">
        <f t="shared" si="2"/>
        <v>-2.602831447091436E-2</v>
      </c>
      <c r="O32" s="26">
        <f t="shared" si="3"/>
        <v>-1.4147129022600151E-2</v>
      </c>
      <c r="P32" s="26">
        <f t="shared" si="4"/>
        <v>-8.2978469074481403E-3</v>
      </c>
      <c r="Q32" s="26">
        <f t="shared" si="5"/>
        <v>-1.0893618293165896E-3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0.58493232294347541</v>
      </c>
      <c r="C33" s="24">
        <f t="shared" si="0"/>
        <v>0.6162862666036123</v>
      </c>
      <c r="D33" s="24">
        <f t="shared" si="0"/>
        <v>0.63999129562109136</v>
      </c>
      <c r="E33" s="24">
        <f t="shared" si="0"/>
        <v>0.63611140155242984</v>
      </c>
      <c r="F33" s="6"/>
      <c r="G33" s="25" t="s">
        <v>16</v>
      </c>
      <c r="H33" s="24">
        <f t="shared" si="1"/>
        <v>5.3630234060734906E-3</v>
      </c>
      <c r="I33" s="24">
        <f t="shared" si="1"/>
        <v>9.2336878509850665E-4</v>
      </c>
      <c r="J33" s="24">
        <f t="shared" si="1"/>
        <v>2.2535120339459208E-3</v>
      </c>
      <c r="K33" s="24">
        <f t="shared" si="1"/>
        <v>5.0278238276150284E-4</v>
      </c>
      <c r="L33" s="6"/>
      <c r="M33" s="25" t="s">
        <v>9</v>
      </c>
      <c r="N33" s="26">
        <f t="shared" si="2"/>
        <v>-2.0673106984305635E-3</v>
      </c>
      <c r="O33" s="26">
        <f t="shared" si="3"/>
        <v>-1.0222345338060236E-3</v>
      </c>
      <c r="P33" s="26">
        <f t="shared" si="4"/>
        <v>1.2760486673865667E-4</v>
      </c>
      <c r="Q33" s="26">
        <f t="shared" si="5"/>
        <v>-2.5587460116333811E-3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1.7006640612588567E-2</v>
      </c>
      <c r="C34" s="24">
        <f t="shared" si="0"/>
        <v>1.804266122408343E-2</v>
      </c>
      <c r="D34" s="24">
        <f t="shared" si="0"/>
        <v>1.9741861910721352E-2</v>
      </c>
      <c r="E34" s="24">
        <f t="shared" si="0"/>
        <v>2.1862506157655382E-2</v>
      </c>
      <c r="F34" s="6"/>
      <c r="G34" s="25" t="s">
        <v>18</v>
      </c>
      <c r="H34" s="24">
        <f t="shared" si="1"/>
        <v>0.11471815794410055</v>
      </c>
      <c r="I34" s="24">
        <f t="shared" si="1"/>
        <v>0.10683749921886732</v>
      </c>
      <c r="J34" s="24">
        <f t="shared" si="1"/>
        <v>9.6896982523176925E-2</v>
      </c>
      <c r="K34" s="24">
        <f t="shared" si="1"/>
        <v>9.203906544390561E-2</v>
      </c>
      <c r="L34" s="6"/>
      <c r="M34" s="25" t="s">
        <v>19</v>
      </c>
      <c r="N34" s="26">
        <f t="shared" si="2"/>
        <v>-1.7447737551845598E-2</v>
      </c>
      <c r="O34" s="26">
        <f t="shared" si="3"/>
        <v>8.5108486505291645E-4</v>
      </c>
      <c r="P34" s="26">
        <f t="shared" si="4"/>
        <v>-6.0312213298848076E-3</v>
      </c>
      <c r="Q34" s="26">
        <f t="shared" si="5"/>
        <v>2.0901229415011095E-3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4.3793030978831013E-2</v>
      </c>
      <c r="I35" s="24">
        <f t="shared" si="1"/>
        <v>3.9422717297122351E-2</v>
      </c>
      <c r="J35" s="24">
        <f t="shared" si="1"/>
        <v>3.7807859350183562E-2</v>
      </c>
      <c r="K35" s="24">
        <f t="shared" si="1"/>
        <v>3.4076049304697868E-2</v>
      </c>
      <c r="L35" s="6"/>
      <c r="M35" s="25" t="s">
        <v>22</v>
      </c>
      <c r="N35" s="26">
        <f t="shared" si="2"/>
        <v>3.1624078589938655E-3</v>
      </c>
      <c r="O35" s="26">
        <f t="shared" si="3"/>
        <v>3.6197921767346509E-3</v>
      </c>
      <c r="P35" s="26">
        <f t="shared" si="4"/>
        <v>2.5087217674232341E-3</v>
      </c>
      <c r="Q35" s="26">
        <f t="shared" si="5"/>
        <v>9.9883965084912579E-3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0.38584501000857879</v>
      </c>
      <c r="C36" s="24">
        <f t="shared" si="0"/>
        <v>0.40809584256332398</v>
      </c>
      <c r="D36" s="24">
        <f t="shared" si="0"/>
        <v>0.4040750816953706</v>
      </c>
      <c r="E36" s="24">
        <f t="shared" si="0"/>
        <v>0.37404590026808032</v>
      </c>
      <c r="F36" s="6"/>
      <c r="G36" s="25" t="s">
        <v>11</v>
      </c>
      <c r="H36" s="24">
        <f t="shared" si="1"/>
        <v>1.8154644045658864E-3</v>
      </c>
      <c r="I36" s="24">
        <f t="shared" si="1"/>
        <v>1.981978452862956E-3</v>
      </c>
      <c r="J36" s="24">
        <f t="shared" si="1"/>
        <v>1.7178742138808877E-3</v>
      </c>
      <c r="K36" s="24">
        <f t="shared" si="1"/>
        <v>1.4555069615611661E-3</v>
      </c>
      <c r="L36" s="6"/>
      <c r="M36" s="25" t="s">
        <v>24</v>
      </c>
      <c r="N36" s="26">
        <f t="shared" si="2"/>
        <v>1.3529790811257703E-2</v>
      </c>
      <c r="O36" s="26">
        <f t="shared" si="3"/>
        <v>7.6191915206764655E-3</v>
      </c>
      <c r="P36" s="26">
        <f t="shared" si="4"/>
        <v>8.8203711838957619E-3</v>
      </c>
      <c r="Q36" s="26">
        <f t="shared" si="5"/>
        <v>-3.3593549013809969E-3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0.10340450544911511</v>
      </c>
      <c r="C37" s="24">
        <f t="shared" si="0"/>
        <v>0.11040147347985166</v>
      </c>
      <c r="D37" s="24">
        <f t="shared" si="0"/>
        <v>0.12027284738781405</v>
      </c>
      <c r="E37" s="24">
        <f t="shared" si="0"/>
        <v>0.11076665369561726</v>
      </c>
      <c r="F37" s="6"/>
      <c r="G37" s="25" t="s">
        <v>26</v>
      </c>
      <c r="H37" s="24">
        <f t="shared" si="1"/>
        <v>4.3308878189763575E-3</v>
      </c>
      <c r="I37" s="24">
        <f t="shared" si="1"/>
        <v>6.3073549588168196E-3</v>
      </c>
      <c r="J37" s="24">
        <f t="shared" si="1"/>
        <v>4.9614587909413655E-3</v>
      </c>
      <c r="K37" s="24">
        <f t="shared" si="1"/>
        <v>4.4300358566034754E-3</v>
      </c>
      <c r="L37" s="6"/>
      <c r="M37" s="25" t="s">
        <v>27</v>
      </c>
      <c r="N37" s="26">
        <f t="shared" si="2"/>
        <v>-3.0970146661386578E-2</v>
      </c>
      <c r="O37" s="26">
        <f t="shared" si="3"/>
        <v>-5.0380959576033821E-2</v>
      </c>
      <c r="P37" s="26">
        <f t="shared" si="4"/>
        <v>-8.5701042476280881E-2</v>
      </c>
      <c r="Q37" s="26">
        <f t="shared" si="5"/>
        <v>-7.7883232794648094E-2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4.9939383202373261E-2</v>
      </c>
      <c r="I38" s="24">
        <f t="shared" si="1"/>
        <v>4.7712050708802127E-2</v>
      </c>
      <c r="J38" s="24">
        <f t="shared" si="1"/>
        <v>4.4487192355005818E-2</v>
      </c>
      <c r="K38" s="24">
        <f t="shared" si="1"/>
        <v>3.9961592122862509E-2</v>
      </c>
      <c r="L38" s="6"/>
      <c r="M38" s="25" t="s">
        <v>30</v>
      </c>
      <c r="N38" s="26">
        <f t="shared" si="2"/>
        <v>1.6764278816426632E-2</v>
      </c>
      <c r="O38" s="26">
        <f t="shared" si="3"/>
        <v>-7.2619690512898717E-3</v>
      </c>
      <c r="P38" s="26">
        <f t="shared" si="4"/>
        <v>-3.4014514675316226E-3</v>
      </c>
      <c r="Q38" s="26">
        <f t="shared" si="5"/>
        <v>1.7885602596961743E-3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0.51075048454230609</v>
      </c>
      <c r="C39" s="24">
        <f t="shared" si="0"/>
        <v>0.48150268395682438</v>
      </c>
      <c r="D39" s="24">
        <f t="shared" si="0"/>
        <v>0.47565207091681533</v>
      </c>
      <c r="E39" s="24">
        <f t="shared" si="0"/>
        <v>0.5151874460363024</v>
      </c>
      <c r="F39" s="6"/>
      <c r="G39" s="25" t="s">
        <v>32</v>
      </c>
      <c r="H39" s="24">
        <f t="shared" si="1"/>
        <v>6.4778774741727288E-2</v>
      </c>
      <c r="I39" s="24">
        <f t="shared" si="1"/>
        <v>5.9125448510065189E-2</v>
      </c>
      <c r="J39" s="24">
        <f t="shared" si="1"/>
        <v>5.2409790168171107E-2</v>
      </c>
      <c r="K39" s="24">
        <f t="shared" si="1"/>
        <v>5.2077473321043094E-2</v>
      </c>
      <c r="L39" s="6"/>
      <c r="M39" s="25" t="s">
        <v>33</v>
      </c>
      <c r="N39" s="26">
        <f t="shared" si="2"/>
        <v>0</v>
      </c>
      <c r="O39" s="26">
        <f t="shared" si="3"/>
        <v>0</v>
      </c>
      <c r="P39" s="26">
        <f t="shared" si="4"/>
        <v>0</v>
      </c>
      <c r="Q39" s="26">
        <f t="shared" si="5"/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2.2362214024191141E-3</v>
      </c>
      <c r="I40" s="24">
        <f t="shared" si="1"/>
        <v>1.4270244860613284E-3</v>
      </c>
      <c r="J40" s="24">
        <f t="shared" si="1"/>
        <v>1.1196948781020467E-3</v>
      </c>
      <c r="K40" s="24">
        <f t="shared" si="1"/>
        <v>1.0797545226396183E-3</v>
      </c>
      <c r="L40" s="6"/>
      <c r="M40" s="25" t="s">
        <v>36</v>
      </c>
      <c r="N40" s="26">
        <f t="shared" si="2"/>
        <v>-5.3516903228495803E-2</v>
      </c>
      <c r="O40" s="26">
        <f t="shared" si="3"/>
        <v>-2.1493973386459683E-2</v>
      </c>
      <c r="P40" s="26">
        <f t="shared" si="4"/>
        <v>1.95069004979616E-2</v>
      </c>
      <c r="Q40" s="26">
        <f t="shared" si="5"/>
        <v>-1.3730442459171615E-2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6.2542553339308166E-2</v>
      </c>
      <c r="I41" s="24">
        <f t="shared" si="1"/>
        <v>5.769842402400386E-2</v>
      </c>
      <c r="J41" s="24">
        <f t="shared" si="1"/>
        <v>5.129009529006906E-2</v>
      </c>
      <c r="K41" s="24">
        <f t="shared" si="1"/>
        <v>5.099771879840348E-2</v>
      </c>
      <c r="L41" s="6"/>
      <c r="M41" s="25" t="s">
        <v>38</v>
      </c>
      <c r="N41" s="26">
        <f t="shared" si="2"/>
        <v>1.5180686689315465E-2</v>
      </c>
      <c r="O41" s="26">
        <f t="shared" si="3"/>
        <v>1.3715290893811656E-2</v>
      </c>
      <c r="P41" s="26">
        <f t="shared" si="4"/>
        <v>8.6251811308212158E-3</v>
      </c>
      <c r="Q41" s="26">
        <f t="shared" si="5"/>
        <v>1.1431627467076294E-2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1.300568998937035E-2</v>
      </c>
      <c r="I42" s="24">
        <f t="shared" si="1"/>
        <v>0</v>
      </c>
      <c r="J42" s="24">
        <f t="shared" si="1"/>
        <v>3.2115572686102621E-2</v>
      </c>
      <c r="K42" s="24">
        <f t="shared" si="1"/>
        <v>2.0966345604710571E-2</v>
      </c>
      <c r="L42" s="6"/>
      <c r="M42" s="25" t="s">
        <v>40</v>
      </c>
      <c r="N42" s="26">
        <f t="shared" si="2"/>
        <v>7.9461847891785994E-3</v>
      </c>
      <c r="O42" s="26">
        <f t="shared" si="3"/>
        <v>1.6303987927186309E-2</v>
      </c>
      <c r="P42" s="26">
        <f t="shared" si="4"/>
        <v>1.4833435299541077E-2</v>
      </c>
      <c r="Q42" s="26">
        <f t="shared" si="5"/>
        <v>9.1269413431228231E-3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6.2544724428048384E-3</v>
      </c>
      <c r="I43" s="24">
        <f t="shared" si="1"/>
        <v>5.7696558632518808E-3</v>
      </c>
      <c r="J43" s="24">
        <f t="shared" si="1"/>
        <v>5.1289086555944647E-3</v>
      </c>
      <c r="K43" s="24">
        <f t="shared" si="1"/>
        <v>5.0998786276923143E-3</v>
      </c>
      <c r="L43" s="6"/>
      <c r="M43" s="2" t="s">
        <v>49</v>
      </c>
      <c r="N43" s="26">
        <f>N24/H11</f>
        <v>6.0488269173318884E-2</v>
      </c>
      <c r="O43" s="26">
        <f>O24/I11</f>
        <v>8.1725599047158023E-2</v>
      </c>
      <c r="P43" s="26">
        <f>P24/J11</f>
        <v>7.5803847614570763E-2</v>
      </c>
      <c r="Q43" s="26">
        <f>Q24/K11</f>
        <v>8.7520428870170058E-2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3.4737419843403713E-2</v>
      </c>
      <c r="I44" s="24">
        <f t="shared" si="1"/>
        <v>3.7307829700949764E-2</v>
      </c>
      <c r="J44" s="24">
        <f t="shared" si="1"/>
        <v>3.0262023732487747E-2</v>
      </c>
      <c r="K44" s="24">
        <f t="shared" si="1"/>
        <v>3.2024355589904643E-2</v>
      </c>
      <c r="L44" s="6"/>
      <c r="M44" s="2" t="s">
        <v>50</v>
      </c>
      <c r="N44" s="26">
        <f>N24/B16</f>
        <v>0.11065357608108538</v>
      </c>
      <c r="O44" s="26">
        <f>O24/C16</f>
        <v>0.14539496063253438</v>
      </c>
      <c r="P44" s="26">
        <f>P24/D16</f>
        <v>0.13799837848806407</v>
      </c>
      <c r="Q44" s="26">
        <f>Q24/E16</f>
        <v>0.1767540829162656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0</v>
      </c>
      <c r="J45" s="24">
        <f t="shared" si="1"/>
        <v>5.0436706220812907E-2</v>
      </c>
      <c r="K45" s="24">
        <f t="shared" si="1"/>
        <v>0</v>
      </c>
      <c r="L45" s="6"/>
      <c r="M45" s="2" t="s">
        <v>51</v>
      </c>
      <c r="N45" s="26">
        <f>N24/B20</f>
        <v>0.21664898894857496</v>
      </c>
      <c r="O45" s="26">
        <f>O24/C20</f>
        <v>0.30196085188503685</v>
      </c>
      <c r="P45" s="26">
        <f>P24/D20</f>
        <v>0.29012462454346805</v>
      </c>
      <c r="Q45" s="26">
        <f>Q24/E20</f>
        <v>0.34308693714522442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3.4556351042469971E-2</v>
      </c>
      <c r="I46" s="24">
        <f t="shared" si="1"/>
        <v>1.4620938459802212E-2</v>
      </c>
      <c r="J46" s="24">
        <f t="shared" si="1"/>
        <v>4.8014735588089476E-2</v>
      </c>
      <c r="K46" s="24">
        <f t="shared" si="1"/>
        <v>3.483983018551709E-2</v>
      </c>
      <c r="L46" s="6"/>
      <c r="M46" s="2" t="s">
        <v>52</v>
      </c>
      <c r="N46" s="26">
        <f>N24/H22</f>
        <v>0.9671538167806436</v>
      </c>
      <c r="O46" s="26">
        <f>O24/I22</f>
        <v>1.4164268856487019</v>
      </c>
      <c r="P46" s="26">
        <f>P24/J22</f>
        <v>1.4779432010384297</v>
      </c>
      <c r="Q46" s="26">
        <f>Q24/K22</f>
        <v>1.7161636036337757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0.22617002691881816</v>
      </c>
      <c r="O47" s="26">
        <f>O24/(C22-C20)</f>
        <v>0.28041603328266262</v>
      </c>
      <c r="P47" s="26">
        <f>P24/(D22-D20)</f>
        <v>0.26318093547037058</v>
      </c>
      <c r="Q47" s="26">
        <f>Q24/(E22-E20)</f>
        <v>0.36458231428037813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1.7413000000000001</v>
      </c>
      <c r="O48" s="26">
        <f>O24/I25</f>
        <v>2.1905749999999999</v>
      </c>
      <c r="P48" s="26">
        <f>P24/J25</f>
        <v>2.5049166666666665</v>
      </c>
      <c r="Q48" s="26">
        <f>Q24/K25</f>
        <v>2.7329333333333334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1.9531153608883405</v>
      </c>
      <c r="O49" s="26">
        <f>O24/(O18*-1)</f>
        <v>1.6221524904427351</v>
      </c>
      <c r="P49" s="26">
        <f>P24/(P18*-1)</f>
        <v>0.8845148836497605</v>
      </c>
      <c r="Q49" s="26">
        <f>Q24/(Q18*-1)</f>
        <v>1.1237390350877192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0.10335775414025362</v>
      </c>
      <c r="I50" s="28">
        <f>LN(I13/J13)</f>
        <v>0.19088422667895399</v>
      </c>
      <c r="J50" s="28">
        <f>LN(J13/K13)</f>
        <v>8.9984600778082319E-2</v>
      </c>
      <c r="M50" s="2"/>
      <c r="N50" s="12"/>
      <c r="O50" s="12"/>
    </row>
    <row r="51" spans="1:26">
      <c r="A51" s="29" t="s">
        <v>57</v>
      </c>
      <c r="B51" s="30">
        <f>B11/B17</f>
        <v>0.97052998674209667</v>
      </c>
      <c r="C51" s="30">
        <f>C11/C17</f>
        <v>0.80530289784948428</v>
      </c>
      <c r="D51" s="30">
        <f>D11/D17</f>
        <v>0.76906751257154937</v>
      </c>
      <c r="E51" s="30">
        <f>E11/E17</f>
        <v>0.84640567138802036</v>
      </c>
      <c r="G51" s="29" t="s">
        <v>58</v>
      </c>
      <c r="H51" s="63">
        <f>H13/H11</f>
        <v>0.10935513453802706</v>
      </c>
      <c r="I51" s="63">
        <f>I13/I11</f>
        <v>0.10591413043376881</v>
      </c>
      <c r="J51" s="63">
        <f>J13/J11</f>
        <v>9.464347048923101E-2</v>
      </c>
      <c r="K51" s="63">
        <f>K13/K11</f>
        <v>9.15362830611441E-2</v>
      </c>
      <c r="M51" s="2" t="s">
        <v>59</v>
      </c>
      <c r="N51" s="32">
        <f>(N11-N24-N25)/B16</f>
        <v>2.9745337273218313E-2</v>
      </c>
      <c r="O51" s="32">
        <f>(O11-O24-O25)/C16</f>
        <v>5.9804531614273508E-2</v>
      </c>
      <c r="P51" s="32">
        <f>(P11-P24-P25)/D16</f>
        <v>0.11758165175689808</v>
      </c>
      <c r="Q51" s="32">
        <f>(Q11-Q24-Q25)/E16</f>
        <v>7.9918551870364243E-2</v>
      </c>
    </row>
    <row r="52" spans="1:26">
      <c r="A52" s="29" t="s">
        <v>60</v>
      </c>
      <c r="B52" s="31">
        <f>H20/B16</f>
        <v>0.11850236710831506</v>
      </c>
      <c r="C52" s="31">
        <f>I20/C16</f>
        <v>0.10518787697770698</v>
      </c>
      <c r="D52" s="31">
        <f>J20/D16</f>
        <v>9.5410276492576024E-2</v>
      </c>
      <c r="E52" s="31">
        <f>K20/E16</f>
        <v>0.10517437078732833</v>
      </c>
      <c r="F52" s="31"/>
      <c r="G52" s="29" t="s">
        <v>61</v>
      </c>
      <c r="H52" s="63">
        <f>H16/H11</f>
        <v>4.3793030978831013E-2</v>
      </c>
      <c r="I52" s="63">
        <f>I16/I11</f>
        <v>3.9422717297122351E-2</v>
      </c>
      <c r="J52" s="63">
        <f>J16/J11</f>
        <v>3.7807859350183562E-2</v>
      </c>
      <c r="K52" s="63">
        <f>K16/K11</f>
        <v>3.4076049304697868E-2</v>
      </c>
      <c r="M52" s="6"/>
    </row>
    <row r="53" spans="1:26">
      <c r="A53" s="29" t="s">
        <v>62</v>
      </c>
      <c r="B53" s="31">
        <f>H20/B20</f>
        <v>0.23201616189264596</v>
      </c>
      <c r="C53" s="31">
        <f>I20/C20</f>
        <v>0.21845750913226272</v>
      </c>
      <c r="D53" s="31">
        <f>J20/D20</f>
        <v>0.20058837609741409</v>
      </c>
      <c r="E53" s="31">
        <f>K20/E20</f>
        <v>0.20414777494387407</v>
      </c>
      <c r="G53" s="29" t="s">
        <v>11</v>
      </c>
      <c r="H53" s="63">
        <f>H17/H11</f>
        <v>1.8154644045658864E-3</v>
      </c>
      <c r="I53" s="63">
        <f>I17/I11</f>
        <v>1.981978452862956E-3</v>
      </c>
      <c r="J53" s="63">
        <f>J17/J11</f>
        <v>1.7178742138808877E-3</v>
      </c>
      <c r="K53" s="63">
        <f>K17/K11</f>
        <v>1.4555069615611661E-3</v>
      </c>
      <c r="M53" s="6"/>
    </row>
    <row r="54" spans="1:26">
      <c r="A54" s="29" t="s">
        <v>63</v>
      </c>
      <c r="B54" s="30">
        <f>H11/B12</f>
        <v>78.885798451736662</v>
      </c>
      <c r="C54" s="30">
        <f>I11/C12</f>
        <v>85.38693107155656</v>
      </c>
      <c r="D54" s="30">
        <f>J11/D12</f>
        <v>86.478082610023122</v>
      </c>
      <c r="E54" s="30">
        <f>K11/E12</f>
        <v>80.262776849590878</v>
      </c>
      <c r="G54" s="29" t="s">
        <v>64</v>
      </c>
      <c r="H54" s="63">
        <f>H25/H22</f>
        <v>0.55542055750338459</v>
      </c>
      <c r="I54" s="63">
        <f>I25/I22</f>
        <v>0.64660049788238338</v>
      </c>
      <c r="J54" s="63">
        <f>J25/J22</f>
        <v>0.5900169138181961</v>
      </c>
      <c r="K54" s="63">
        <f>K25/K22</f>
        <v>0.62795662912881489</v>
      </c>
      <c r="M54" s="6"/>
    </row>
    <row r="55" spans="1:26">
      <c r="A55" s="29" t="s">
        <v>65</v>
      </c>
      <c r="B55" s="31">
        <f>(B22-B20)/B16</f>
        <v>0.48924951545769391</v>
      </c>
      <c r="C55" s="31">
        <f>(C22-C20)/C16</f>
        <v>0.51849731604317562</v>
      </c>
      <c r="D55" s="31">
        <f>(D22-D20)/D16</f>
        <v>0.52434792908318462</v>
      </c>
      <c r="E55" s="31">
        <f>(E22-E20)/E16</f>
        <v>0.4848125539636976</v>
      </c>
      <c r="G55" s="29" t="s">
        <v>66</v>
      </c>
      <c r="H55" s="63">
        <f>H22/H11</f>
        <v>6.2542553339308166E-2</v>
      </c>
      <c r="I55" s="63">
        <f>I22/I11</f>
        <v>5.769842402400386E-2</v>
      </c>
      <c r="J55" s="63">
        <f>J22/J11</f>
        <v>5.129009529006906E-2</v>
      </c>
      <c r="K55" s="63">
        <f>K22/K11</f>
        <v>5.099771879840348E-2</v>
      </c>
      <c r="L55" s="31"/>
      <c r="M55" s="6"/>
    </row>
    <row r="56" spans="1:26">
      <c r="A56" s="29" t="s">
        <v>67</v>
      </c>
      <c r="B56" s="31">
        <f>(B22-B20)/B20</f>
        <v>0.95790318416657072</v>
      </c>
      <c r="C56" s="31">
        <f>(C22-C20)/C20</f>
        <v>1.076831621752016</v>
      </c>
      <c r="D56" s="31">
        <f>(D22-D20)/D20</f>
        <v>1.1023770548764951</v>
      </c>
      <c r="E56" s="31">
        <f>(E22-E20)/E20</f>
        <v>0.94104108648939311</v>
      </c>
      <c r="G56" s="33" t="s">
        <v>68</v>
      </c>
      <c r="H56" s="34">
        <f>H13/B16</f>
        <v>0.20004765989896101</v>
      </c>
      <c r="I56" s="34">
        <f>I13/C16</f>
        <v>0.18842787332719382</v>
      </c>
      <c r="J56" s="34">
        <f>J13/D16</f>
        <v>0.17229528411808942</v>
      </c>
      <c r="K56" s="34">
        <f>K13/E16</f>
        <v>0.18486440223044559</v>
      </c>
      <c r="M56" s="6"/>
    </row>
    <row r="57" spans="1:26">
      <c r="A57" s="29" t="s">
        <v>69</v>
      </c>
      <c r="B57" s="30">
        <f>H11/B16</f>
        <v>1.8293394338004003</v>
      </c>
      <c r="C57" s="30">
        <f>I11/C16</f>
        <v>1.7790626477835578</v>
      </c>
      <c r="D57" s="30">
        <f>J11/D16</f>
        <v>1.8204666759097132</v>
      </c>
      <c r="E57" s="30">
        <f>K11/E16</f>
        <v>2.0195751460320985</v>
      </c>
      <c r="G57" s="33" t="s">
        <v>70</v>
      </c>
      <c r="H57" s="35">
        <f>H25/$B$5</f>
        <v>57.240984544934179</v>
      </c>
      <c r="I57" s="35">
        <f>I25/$B$5</f>
        <v>57.240984544934179</v>
      </c>
      <c r="J57" s="35">
        <f>J25/$B$5</f>
        <v>42.930738408700634</v>
      </c>
      <c r="K57" s="35">
        <f>K25/$B$5</f>
        <v>42.930738408700634</v>
      </c>
      <c r="M57" s="6"/>
    </row>
    <row r="58" spans="1:26">
      <c r="A58" s="29" t="s">
        <v>71</v>
      </c>
      <c r="B58" s="30">
        <f>B16/B20</f>
        <v>1.9579031841665708</v>
      </c>
      <c r="C58" s="30">
        <f>C16/C20</f>
        <v>2.076831621752016</v>
      </c>
      <c r="D58" s="30">
        <f>D16/D20</f>
        <v>2.1023770548764951</v>
      </c>
      <c r="E58" s="30">
        <f>E16/E20</f>
        <v>1.941041086489393</v>
      </c>
      <c r="G58" s="36" t="s">
        <v>72</v>
      </c>
      <c r="H58" s="37">
        <f>H22/$B$7/1000</f>
        <v>3.6008749999999998</v>
      </c>
      <c r="I58" s="37">
        <f>I22/$B$7/1000</f>
        <v>3.0930999999999997</v>
      </c>
      <c r="J58" s="37">
        <f>J22/$B$7/1000</f>
        <v>2.5423</v>
      </c>
      <c r="K58" s="37">
        <f>K22/$B$7/1000</f>
        <v>2.3886999999999996</v>
      </c>
      <c r="M58" s="6"/>
    </row>
    <row r="59" spans="1:26">
      <c r="G59" s="36" t="s">
        <v>73</v>
      </c>
      <c r="H59" s="37">
        <f>B20/$B$7/1000</f>
        <v>16.074850000000001</v>
      </c>
      <c r="I59" s="37">
        <f>C20/$B$7/1000</f>
        <v>14.509</v>
      </c>
      <c r="J59" s="37">
        <f>D20/$B$7/1000</f>
        <v>12.950899999999999</v>
      </c>
      <c r="K59" s="37">
        <f>E20/$B$7/1000</f>
        <v>11.948575</v>
      </c>
      <c r="L59" s="65"/>
      <c r="M59" s="6"/>
    </row>
    <row r="60" spans="1:26">
      <c r="G60" s="33" t="s">
        <v>74</v>
      </c>
      <c r="H60" s="38">
        <f>SQRT(22.5*H58*H59)</f>
        <v>36.088492952870375</v>
      </c>
      <c r="I60" s="38">
        <f>SQRT(22.5*I58*I59)</f>
        <v>31.776567274487029</v>
      </c>
      <c r="J60" s="38">
        <f>SQRT(22.5*J58*J59)</f>
        <v>27.217901169542813</v>
      </c>
      <c r="K60" s="38">
        <f>SQRT(22.5*K58*K59)</f>
        <v>25.341371801981243</v>
      </c>
      <c r="M60" s="6"/>
    </row>
    <row r="61" spans="1:26">
      <c r="G61" s="33" t="s">
        <v>75</v>
      </c>
      <c r="H61" s="39">
        <f>H58-(B20*0.08/1000/$B$7)</f>
        <v>2.3148869999999997</v>
      </c>
      <c r="I61" s="39">
        <f>I58-(C20*0.08/1000/$B$7)</f>
        <v>1.9323799999999998</v>
      </c>
      <c r="J61" s="39">
        <f>J58-(D20*0.08/1000/$B$7)</f>
        <v>1.5062280000000001</v>
      </c>
      <c r="K61" s="39">
        <f>K58-(E20*0.08/1000/$B$7)</f>
        <v>1.4328139999999996</v>
      </c>
      <c r="M61" s="6"/>
    </row>
    <row r="62" spans="1:26">
      <c r="G62" s="40" t="s">
        <v>76</v>
      </c>
      <c r="H62" s="41">
        <f>H25/$B$7/1000</f>
        <v>2</v>
      </c>
      <c r="I62" s="41">
        <f>I25/$B$7/1000</f>
        <v>2</v>
      </c>
      <c r="J62" s="41">
        <f>J25/$B$7/1000</f>
        <v>1.5</v>
      </c>
      <c r="K62" s="41">
        <f>K25/$B$7/1000</f>
        <v>1.5</v>
      </c>
      <c r="M62" s="6"/>
    </row>
    <row r="63" spans="1:26">
      <c r="A63" s="2"/>
      <c r="G63" s="6"/>
      <c r="M63" s="6"/>
    </row>
    <row r="64" spans="1:26">
      <c r="G64" s="2" t="s">
        <v>85</v>
      </c>
      <c r="H64" s="47">
        <f>SUM(H62:J62)</f>
        <v>5.5</v>
      </c>
      <c r="M64" s="6"/>
    </row>
    <row r="65" spans="7:13">
      <c r="G65" s="6"/>
      <c r="M65" s="6"/>
    </row>
    <row r="66" spans="7:13">
      <c r="G66" s="6"/>
      <c r="M66" s="6"/>
    </row>
    <row r="67" spans="7:13">
      <c r="G67" s="6"/>
      <c r="M67" s="6"/>
    </row>
    <row r="68" spans="7:13">
      <c r="G68" s="6"/>
      <c r="M68" s="6"/>
    </row>
    <row r="69" spans="7:13">
      <c r="G69" s="6"/>
      <c r="M69" s="6"/>
    </row>
    <row r="70" spans="7:13">
      <c r="G70" s="6"/>
      <c r="M70" s="6"/>
    </row>
    <row r="71" spans="7:13">
      <c r="G71" s="6"/>
      <c r="M71" s="6"/>
    </row>
    <row r="72" spans="7:13">
      <c r="G72" s="6"/>
      <c r="M72" s="6"/>
    </row>
    <row r="73" spans="7:13">
      <c r="G73" s="6"/>
      <c r="M73" s="6"/>
    </row>
    <row r="74" spans="7:13">
      <c r="G74" s="2" t="s">
        <v>86</v>
      </c>
      <c r="H74" s="6">
        <f>H59*$B$7/$B$5</f>
        <v>0.46007012020606758</v>
      </c>
      <c r="I74" s="6">
        <f>I59*$B$7/$B$5</f>
        <v>0.41525472238122502</v>
      </c>
      <c r="J74" s="6">
        <f>J59*$B$7/$B$5</f>
        <v>0.37066113337149398</v>
      </c>
      <c r="K74" s="6">
        <f>K59*$B$7/$B$5</f>
        <v>0.34197409845449345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8.1865412740210877E-2</v>
      </c>
      <c r="I77" s="28">
        <f>(I15-I16)/$B$6</f>
        <v>7.2452443983789305E-2</v>
      </c>
      <c r="J77" s="28">
        <f>(J15-J16)/$B$6</f>
        <v>5.8717659052157499E-2</v>
      </c>
      <c r="K77" s="28">
        <f>(K15-K16)/$B$6</f>
        <v>5.442892183642354E-2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6" width="15.140625"/>
    <col min="7" max="7" width="22.5703125"/>
    <col min="8" max="12" width="15.140625"/>
    <col min="13" max="13" width="31.85546875"/>
    <col min="14" max="26" width="15.140625"/>
    <col min="27" max="1025" width="14.42578125"/>
  </cols>
  <sheetData>
    <row r="1" spans="1:17">
      <c r="A1" s="2"/>
      <c r="G1" s="6"/>
      <c r="M1" s="6"/>
    </row>
    <row r="2" spans="1:17">
      <c r="A2" s="2"/>
      <c r="G2" s="6"/>
      <c r="M2" s="6"/>
    </row>
    <row r="3" spans="1:17">
      <c r="A3" s="2"/>
      <c r="G3" s="6"/>
      <c r="M3" s="6"/>
    </row>
    <row r="4" spans="1:17">
      <c r="A4" s="2"/>
      <c r="G4" s="6"/>
      <c r="M4" s="6"/>
    </row>
    <row r="5" spans="1:17">
      <c r="A5" s="2" t="s">
        <v>0</v>
      </c>
      <c r="B5" s="3">
        <v>9582300</v>
      </c>
      <c r="C5" s="6">
        <f>H11/1000/B7</f>
        <v>32.85082380952381</v>
      </c>
      <c r="D5" s="6">
        <f>35/C5</f>
        <v>1.0654222920842893</v>
      </c>
      <c r="G5" s="6"/>
      <c r="M5" s="6"/>
    </row>
    <row r="6" spans="1:17">
      <c r="A6" s="2" t="s">
        <v>1</v>
      </c>
      <c r="B6" s="74">
        <f>B5+(B22-B20)-N23</f>
        <v>13672521</v>
      </c>
      <c r="G6" s="6"/>
      <c r="M6" s="6"/>
    </row>
    <row r="7" spans="1:17">
      <c r="A7" s="2" t="s">
        <v>2</v>
      </c>
      <c r="B7" s="62">
        <v>210</v>
      </c>
      <c r="G7" s="6"/>
      <c r="M7" s="6"/>
    </row>
    <row r="8" spans="1:17">
      <c r="G8" s="6"/>
      <c r="M8" s="6"/>
    </row>
    <row r="9" spans="1:17">
      <c r="G9" s="6"/>
      <c r="M9" s="6"/>
    </row>
    <row r="10" spans="1:17">
      <c r="A10" s="21" t="s">
        <v>3</v>
      </c>
      <c r="B10" s="22">
        <v>42094</v>
      </c>
      <c r="C10" s="22">
        <v>41729</v>
      </c>
      <c r="D10" s="22">
        <v>41364</v>
      </c>
      <c r="E10" s="22">
        <v>40999</v>
      </c>
      <c r="G10" s="21" t="s">
        <v>4</v>
      </c>
      <c r="H10" s="22">
        <v>42094</v>
      </c>
      <c r="I10" s="22">
        <v>41729</v>
      </c>
      <c r="J10" s="22">
        <v>41364</v>
      </c>
      <c r="K10" s="22">
        <v>40999</v>
      </c>
      <c r="M10" s="21" t="s">
        <v>5</v>
      </c>
      <c r="N10" s="22">
        <v>42094</v>
      </c>
      <c r="O10" s="22">
        <v>41729</v>
      </c>
      <c r="P10" s="22">
        <v>41364</v>
      </c>
      <c r="Q10" s="22">
        <v>40999</v>
      </c>
    </row>
    <row r="11" spans="1:17">
      <c r="A11" s="25" t="s">
        <v>6</v>
      </c>
      <c r="B11" s="56">
        <v>1444020</v>
      </c>
      <c r="C11" s="56">
        <v>978100</v>
      </c>
      <c r="D11" s="56">
        <v>799162</v>
      </c>
      <c r="E11" s="56">
        <v>655137</v>
      </c>
      <c r="G11" s="25" t="s">
        <v>7</v>
      </c>
      <c r="H11" s="56">
        <v>6898673</v>
      </c>
      <c r="I11" s="56">
        <v>5482386</v>
      </c>
      <c r="J11" s="56">
        <v>4658532</v>
      </c>
      <c r="K11" s="56">
        <v>3202667</v>
      </c>
      <c r="M11" s="25" t="s">
        <v>8</v>
      </c>
      <c r="N11" s="56">
        <v>802952</v>
      </c>
      <c r="O11" s="56">
        <v>771353</v>
      </c>
      <c r="P11" s="56">
        <v>619692</v>
      </c>
      <c r="Q11" s="56">
        <v>447381</v>
      </c>
    </row>
    <row r="12" spans="1:17">
      <c r="A12" s="25" t="s">
        <v>9</v>
      </c>
      <c r="B12" s="56">
        <v>2016265</v>
      </c>
      <c r="C12" s="56">
        <v>1534193</v>
      </c>
      <c r="D12" s="56">
        <v>1103490</v>
      </c>
      <c r="E12" s="56">
        <v>745960</v>
      </c>
      <c r="G12" s="25" t="s">
        <v>10</v>
      </c>
      <c r="H12" s="56">
        <v>5111496</v>
      </c>
      <c r="I12" s="56">
        <v>4084411</v>
      </c>
      <c r="J12" s="56">
        <v>3528168</v>
      </c>
      <c r="K12" s="56">
        <v>1755304</v>
      </c>
      <c r="M12" s="25" t="s">
        <v>11</v>
      </c>
      <c r="N12" s="56">
        <v>288908</v>
      </c>
      <c r="O12" s="56">
        <v>225756</v>
      </c>
      <c r="P12" s="56">
        <v>173705</v>
      </c>
      <c r="Q12" s="56">
        <v>113776</v>
      </c>
    </row>
    <row r="13" spans="1:17">
      <c r="A13" s="25" t="s">
        <v>12</v>
      </c>
      <c r="B13" s="56">
        <v>318467</v>
      </c>
      <c r="C13" s="56">
        <v>260092</v>
      </c>
      <c r="D13" s="56">
        <v>239499</v>
      </c>
      <c r="E13" s="56">
        <v>244691</v>
      </c>
      <c r="G13" s="25" t="s">
        <v>13</v>
      </c>
      <c r="H13" s="56">
        <v>1787177</v>
      </c>
      <c r="I13" s="56">
        <v>1397975</v>
      </c>
      <c r="J13" s="56">
        <v>1130364</v>
      </c>
      <c r="K13" s="56">
        <v>1447363</v>
      </c>
      <c r="M13" s="25" t="s">
        <v>14</v>
      </c>
      <c r="N13" s="57"/>
      <c r="O13" s="57"/>
      <c r="P13" s="57"/>
      <c r="Q13" s="57"/>
    </row>
    <row r="14" spans="1:17">
      <c r="A14" s="25" t="s">
        <v>15</v>
      </c>
      <c r="B14" s="56">
        <v>2046974</v>
      </c>
      <c r="C14" s="56">
        <v>1615781</v>
      </c>
      <c r="D14" s="56">
        <v>1349653</v>
      </c>
      <c r="E14" s="56">
        <v>790049</v>
      </c>
      <c r="G14" s="25" t="s">
        <v>16</v>
      </c>
      <c r="H14" s="56">
        <v>86278</v>
      </c>
      <c r="I14" s="56">
        <v>143780</v>
      </c>
      <c r="J14" s="56">
        <v>98573</v>
      </c>
      <c r="K14" s="56">
        <v>76195</v>
      </c>
      <c r="M14" s="25" t="s">
        <v>9</v>
      </c>
      <c r="N14" s="58">
        <v>-480939</v>
      </c>
      <c r="O14" s="58">
        <v>-429810</v>
      </c>
      <c r="P14" s="58">
        <v>-276915</v>
      </c>
      <c r="Q14" s="58">
        <v>-147408</v>
      </c>
    </row>
    <row r="15" spans="1:17">
      <c r="A15" s="25" t="s">
        <v>17</v>
      </c>
      <c r="B15" s="56">
        <v>943899</v>
      </c>
      <c r="C15" s="56">
        <v>627752</v>
      </c>
      <c r="D15" s="56">
        <v>578479</v>
      </c>
      <c r="E15" s="56">
        <v>139579</v>
      </c>
      <c r="G15" s="25" t="s">
        <v>18</v>
      </c>
      <c r="H15" s="56">
        <v>1873455</v>
      </c>
      <c r="I15" s="56">
        <v>1541755</v>
      </c>
      <c r="J15" s="56">
        <v>1228937</v>
      </c>
      <c r="K15" s="56">
        <v>1523558</v>
      </c>
      <c r="M15" s="25" t="s">
        <v>19</v>
      </c>
      <c r="N15" s="58">
        <v>-123729</v>
      </c>
      <c r="O15" s="58">
        <v>-218095</v>
      </c>
      <c r="P15" s="58">
        <v>-131133</v>
      </c>
      <c r="Q15" s="56">
        <v>40449</v>
      </c>
    </row>
    <row r="16" spans="1:17">
      <c r="A16" s="25" t="s">
        <v>20</v>
      </c>
      <c r="B16" s="56">
        <v>6769625</v>
      </c>
      <c r="C16" s="56">
        <v>5015918</v>
      </c>
      <c r="D16" s="56">
        <v>4070283</v>
      </c>
      <c r="E16" s="56">
        <v>2575416</v>
      </c>
      <c r="G16" s="25" t="s">
        <v>21</v>
      </c>
      <c r="H16" s="56">
        <v>652415</v>
      </c>
      <c r="I16" s="56">
        <v>452021</v>
      </c>
      <c r="J16" s="56">
        <v>372723</v>
      </c>
      <c r="K16" s="56">
        <v>907938</v>
      </c>
      <c r="M16" s="25" t="s">
        <v>22</v>
      </c>
      <c r="N16" s="56">
        <v>20340</v>
      </c>
      <c r="O16" s="56">
        <v>145772</v>
      </c>
      <c r="P16" s="56">
        <v>54548</v>
      </c>
      <c r="Q16" s="58">
        <v>-42581</v>
      </c>
    </row>
    <row r="17" spans="1:26">
      <c r="A17" s="25" t="s">
        <v>23</v>
      </c>
      <c r="B17" s="56">
        <v>2110526</v>
      </c>
      <c r="C17" s="56">
        <v>1927053</v>
      </c>
      <c r="D17" s="56">
        <v>1089733</v>
      </c>
      <c r="E17" s="56">
        <v>788549</v>
      </c>
      <c r="G17" s="25" t="s">
        <v>11</v>
      </c>
      <c r="H17" s="56">
        <v>288908</v>
      </c>
      <c r="I17" s="56">
        <v>225756</v>
      </c>
      <c r="J17" s="56">
        <v>173705</v>
      </c>
      <c r="K17" s="56">
        <v>113776</v>
      </c>
      <c r="M17" s="25" t="s">
        <v>24</v>
      </c>
      <c r="N17" s="58">
        <v>-268947</v>
      </c>
      <c r="O17" s="56">
        <v>246694</v>
      </c>
      <c r="P17" s="58">
        <v>-93840</v>
      </c>
      <c r="Q17" s="58">
        <v>-9677</v>
      </c>
    </row>
    <row r="18" spans="1:26">
      <c r="A18" s="25" t="s">
        <v>25</v>
      </c>
      <c r="B18" s="56">
        <v>2242217</v>
      </c>
      <c r="C18" s="56">
        <v>663119</v>
      </c>
      <c r="D18" s="56">
        <v>958657</v>
      </c>
      <c r="E18" s="56">
        <v>384667</v>
      </c>
      <c r="G18" s="25" t="s">
        <v>26</v>
      </c>
      <c r="H18" s="56">
        <v>109473</v>
      </c>
      <c r="I18" s="56">
        <v>50667</v>
      </c>
      <c r="J18" s="56">
        <v>32120</v>
      </c>
      <c r="K18" s="56">
        <v>18605</v>
      </c>
      <c r="M18" s="25" t="s">
        <v>27</v>
      </c>
      <c r="N18" s="58">
        <v>-621574</v>
      </c>
      <c r="O18" s="58">
        <v>-376323</v>
      </c>
      <c r="P18" s="58">
        <v>-494202</v>
      </c>
      <c r="Q18" s="58">
        <v>-298197</v>
      </c>
    </row>
    <row r="19" spans="1:26">
      <c r="A19" s="25" t="s">
        <v>28</v>
      </c>
      <c r="B19" s="56">
        <v>17436</v>
      </c>
      <c r="C19" s="57"/>
      <c r="D19" s="57"/>
      <c r="E19" s="57"/>
      <c r="G19" s="25" t="s">
        <v>29</v>
      </c>
      <c r="H19" s="56">
        <v>1050796</v>
      </c>
      <c r="I19" s="56">
        <v>728444</v>
      </c>
      <c r="J19" s="56">
        <v>578548</v>
      </c>
      <c r="K19" s="56">
        <v>1040319</v>
      </c>
      <c r="M19" s="25" t="s">
        <v>30</v>
      </c>
      <c r="N19" s="58">
        <v>-466392</v>
      </c>
      <c r="O19" s="58">
        <v>-65722</v>
      </c>
      <c r="P19" s="58">
        <v>-686004</v>
      </c>
      <c r="Q19" s="58">
        <v>-17426</v>
      </c>
    </row>
    <row r="20" spans="1:26">
      <c r="A20" s="25" t="s">
        <v>31</v>
      </c>
      <c r="B20" s="56">
        <v>2399446</v>
      </c>
      <c r="C20" s="56">
        <v>2425746</v>
      </c>
      <c r="D20" s="56">
        <v>2021893</v>
      </c>
      <c r="E20" s="56">
        <v>1402200</v>
      </c>
      <c r="G20" s="25" t="s">
        <v>32</v>
      </c>
      <c r="H20" s="56">
        <v>822659</v>
      </c>
      <c r="I20" s="56">
        <v>813311</v>
      </c>
      <c r="J20" s="56">
        <v>650389</v>
      </c>
      <c r="K20" s="56">
        <v>483239</v>
      </c>
      <c r="M20" s="25" t="s">
        <v>33</v>
      </c>
      <c r="N20" s="56">
        <v>1853579</v>
      </c>
      <c r="O20" s="56">
        <v>28722</v>
      </c>
      <c r="P20" s="56">
        <v>770835</v>
      </c>
      <c r="Q20" s="56">
        <v>153299</v>
      </c>
    </row>
    <row r="21" spans="1:26">
      <c r="A21" s="25" t="s">
        <v>34</v>
      </c>
      <c r="B21" s="57"/>
      <c r="C21" s="57"/>
      <c r="D21" s="57"/>
      <c r="E21" s="59"/>
      <c r="G21" s="25" t="s">
        <v>35</v>
      </c>
      <c r="H21" s="56">
        <v>19707</v>
      </c>
      <c r="I21" s="56">
        <v>41958</v>
      </c>
      <c r="J21" s="56">
        <v>30697</v>
      </c>
      <c r="K21" s="56">
        <v>35858</v>
      </c>
      <c r="M21" s="25" t="s">
        <v>36</v>
      </c>
      <c r="N21" s="58">
        <v>-825247</v>
      </c>
      <c r="O21" s="58">
        <v>-361507</v>
      </c>
      <c r="P21" s="58">
        <v>-566</v>
      </c>
      <c r="Q21" s="58">
        <v>-148894</v>
      </c>
    </row>
    <row r="22" spans="1:26">
      <c r="A22" s="25" t="s">
        <v>37</v>
      </c>
      <c r="B22" s="56">
        <v>6769625</v>
      </c>
      <c r="C22" s="56">
        <v>5015918</v>
      </c>
      <c r="D22" s="56">
        <v>4070283</v>
      </c>
      <c r="E22" s="56">
        <v>2575416</v>
      </c>
      <c r="G22" s="25" t="s">
        <v>8</v>
      </c>
      <c r="H22" s="56">
        <v>802952</v>
      </c>
      <c r="I22" s="56">
        <v>771353</v>
      </c>
      <c r="J22" s="56">
        <v>619692</v>
      </c>
      <c r="K22" s="56">
        <v>447381</v>
      </c>
      <c r="M22" s="25" t="s">
        <v>38</v>
      </c>
      <c r="N22" s="56">
        <v>101007</v>
      </c>
      <c r="O22" s="56">
        <v>134167</v>
      </c>
      <c r="P22" s="56">
        <v>198046</v>
      </c>
      <c r="Q22" s="56">
        <v>107325</v>
      </c>
    </row>
    <row r="23" spans="1:26">
      <c r="G23" s="25" t="s">
        <v>39</v>
      </c>
      <c r="H23" s="57"/>
      <c r="I23" s="57"/>
      <c r="J23" s="57"/>
      <c r="K23" s="56">
        <v>250384</v>
      </c>
      <c r="M23" s="25" t="s">
        <v>40</v>
      </c>
      <c r="N23" s="56">
        <v>279958</v>
      </c>
      <c r="O23" s="56">
        <v>101007</v>
      </c>
      <c r="P23" s="56">
        <v>134166</v>
      </c>
      <c r="Q23" s="56">
        <v>198047</v>
      </c>
    </row>
    <row r="24" spans="1:26">
      <c r="G24" s="25" t="s">
        <v>41</v>
      </c>
      <c r="H24" s="57"/>
      <c r="I24" s="57"/>
      <c r="J24" s="57"/>
      <c r="K24" s="56">
        <v>44738</v>
      </c>
      <c r="M24" s="2" t="s">
        <v>42</v>
      </c>
      <c r="N24" s="12">
        <f>SUM(N11:N17)</f>
        <v>238585</v>
      </c>
      <c r="O24" s="12">
        <f>SUM(O11:O17)</f>
        <v>741670</v>
      </c>
      <c r="P24" s="12">
        <f>SUM(P11:P17)</f>
        <v>346057</v>
      </c>
      <c r="Q24" s="12">
        <f>SUM(Q11:Q17)</f>
        <v>401940</v>
      </c>
    </row>
    <row r="25" spans="1:26">
      <c r="G25" s="25" t="s">
        <v>43</v>
      </c>
      <c r="H25" s="57"/>
      <c r="I25" s="57"/>
      <c r="J25" s="57"/>
      <c r="K25" s="56">
        <v>140000</v>
      </c>
      <c r="M25" s="2" t="s">
        <v>44</v>
      </c>
      <c r="N25" s="12">
        <f>N18+N19</f>
        <v>-1087966</v>
      </c>
      <c r="O25" s="12">
        <f>O18+O19</f>
        <v>-442045</v>
      </c>
      <c r="P25" s="12">
        <f>P18+P19</f>
        <v>-1180206</v>
      </c>
      <c r="Q25" s="12">
        <f>Q18+Q19</f>
        <v>-315623</v>
      </c>
    </row>
    <row r="26" spans="1:26">
      <c r="G26" s="25" t="s">
        <v>45</v>
      </c>
      <c r="H26" s="57"/>
      <c r="I26" s="57"/>
      <c r="J26" s="57"/>
      <c r="K26" s="57"/>
      <c r="M26" s="2" t="s">
        <v>46</v>
      </c>
      <c r="N26" s="12">
        <f>N20+N21</f>
        <v>1028332</v>
      </c>
      <c r="O26" s="12">
        <f>O20+O21</f>
        <v>-332785</v>
      </c>
      <c r="P26" s="12">
        <f>P20+P21</f>
        <v>770269</v>
      </c>
      <c r="Q26" s="12">
        <f>Q20+Q21</f>
        <v>4405</v>
      </c>
    </row>
    <row r="27" spans="1:26">
      <c r="G27" s="25" t="s">
        <v>47</v>
      </c>
      <c r="H27" s="57"/>
      <c r="I27" s="57"/>
      <c r="J27" s="57"/>
      <c r="K27" s="56">
        <v>513027</v>
      </c>
      <c r="M27" s="2" t="s">
        <v>48</v>
      </c>
      <c r="N27" s="12">
        <f>N24+N25+N26</f>
        <v>178951</v>
      </c>
      <c r="O27" s="12">
        <f>O24+O25+O26</f>
        <v>-33160</v>
      </c>
      <c r="P27" s="12">
        <f>P24+P25+P26</f>
        <v>-63880</v>
      </c>
      <c r="Q27" s="12">
        <f>Q24+Q25+Q26</f>
        <v>90722</v>
      </c>
    </row>
    <row r="28" spans="1:26">
      <c r="G28" s="6"/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0.21330871355503445</v>
      </c>
      <c r="C30" s="24">
        <f t="shared" si="0"/>
        <v>0.19499920054514447</v>
      </c>
      <c r="D30" s="24">
        <f t="shared" si="0"/>
        <v>0.19634064756676625</v>
      </c>
      <c r="E30" s="24">
        <f t="shared" si="0"/>
        <v>0.25438103980094867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0.11639223949301554</v>
      </c>
      <c r="O30" s="26">
        <f t="shared" ref="O30:O42" si="3">O11/I$11</f>
        <v>0.1406965872158582</v>
      </c>
      <c r="P30" s="26">
        <f t="shared" ref="P30:P42" si="4">P11/J$11</f>
        <v>0.13302302098601018</v>
      </c>
      <c r="Q30" s="26">
        <f t="shared" ref="Q30:Q42" si="5">Q11/K$11</f>
        <v>0.13969013949936099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0.29783998375094634</v>
      </c>
      <c r="C31" s="24">
        <f t="shared" si="0"/>
        <v>0.30586484866778124</v>
      </c>
      <c r="D31" s="24">
        <f t="shared" si="0"/>
        <v>0.27110891306574997</v>
      </c>
      <c r="E31" s="24">
        <f t="shared" si="0"/>
        <v>0.28964641052163997</v>
      </c>
      <c r="F31" s="6"/>
      <c r="G31" s="25" t="s">
        <v>10</v>
      </c>
      <c r="H31" s="24">
        <f t="shared" si="1"/>
        <v>0.74093901827206476</v>
      </c>
      <c r="I31" s="24">
        <f t="shared" si="1"/>
        <v>0.74500609771001169</v>
      </c>
      <c r="J31" s="24">
        <f t="shared" si="1"/>
        <v>0.75735618001550709</v>
      </c>
      <c r="K31" s="24">
        <f t="shared" si="1"/>
        <v>0.54807571314782333</v>
      </c>
      <c r="L31" s="6"/>
      <c r="M31" s="25" t="s">
        <v>11</v>
      </c>
      <c r="N31" s="26">
        <f t="shared" si="2"/>
        <v>4.1878778715848684E-2</v>
      </c>
      <c r="O31" s="26">
        <f t="shared" si="3"/>
        <v>4.1178421220249721E-2</v>
      </c>
      <c r="P31" s="26">
        <f t="shared" si="4"/>
        <v>3.7287497434814229E-2</v>
      </c>
      <c r="Q31" s="26">
        <f t="shared" si="5"/>
        <v>3.5525391806266467E-2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4.7043521613087877E-2</v>
      </c>
      <c r="C32" s="24">
        <f t="shared" si="0"/>
        <v>5.1853319771176486E-2</v>
      </c>
      <c r="D32" s="24">
        <f t="shared" si="0"/>
        <v>5.8840871752652089E-2</v>
      </c>
      <c r="E32" s="24">
        <f t="shared" si="0"/>
        <v>9.5010281834080404E-2</v>
      </c>
      <c r="F32" s="6"/>
      <c r="G32" s="25" t="s">
        <v>13</v>
      </c>
      <c r="H32" s="24">
        <f t="shared" si="1"/>
        <v>0.25906098172793524</v>
      </c>
      <c r="I32" s="24">
        <f t="shared" si="1"/>
        <v>0.25499390228998836</v>
      </c>
      <c r="J32" s="24">
        <f t="shared" si="1"/>
        <v>0.24264381998449297</v>
      </c>
      <c r="K32" s="24">
        <f t="shared" si="1"/>
        <v>0.45192428685217662</v>
      </c>
      <c r="L32" s="6"/>
      <c r="M32" s="25" t="s">
        <v>14</v>
      </c>
      <c r="N32" s="26">
        <f t="shared" si="2"/>
        <v>0</v>
      </c>
      <c r="O32" s="26">
        <f t="shared" si="3"/>
        <v>0</v>
      </c>
      <c r="P32" s="26">
        <f t="shared" si="4"/>
        <v>0</v>
      </c>
      <c r="Q32" s="26">
        <f t="shared" si="5"/>
        <v>0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0.30237627638163117</v>
      </c>
      <c r="C33" s="24">
        <f t="shared" si="0"/>
        <v>0.32213066481549341</v>
      </c>
      <c r="D33" s="24">
        <f t="shared" si="0"/>
        <v>0.33158701741377689</v>
      </c>
      <c r="E33" s="24">
        <f t="shared" si="0"/>
        <v>0.30676558660814407</v>
      </c>
      <c r="F33" s="6"/>
      <c r="G33" s="25" t="s">
        <v>16</v>
      </c>
      <c r="H33" s="24">
        <f t="shared" si="1"/>
        <v>1.2506463199516777E-2</v>
      </c>
      <c r="I33" s="24">
        <f t="shared" si="1"/>
        <v>2.622580752249112E-2</v>
      </c>
      <c r="J33" s="24">
        <f t="shared" si="1"/>
        <v>2.1159670041978891E-2</v>
      </c>
      <c r="K33" s="24">
        <f t="shared" si="1"/>
        <v>2.3791109097511542E-2</v>
      </c>
      <c r="L33" s="6"/>
      <c r="M33" s="25" t="s">
        <v>9</v>
      </c>
      <c r="N33" s="26">
        <f t="shared" si="2"/>
        <v>-6.9714711800370879E-2</v>
      </c>
      <c r="O33" s="26">
        <f t="shared" si="3"/>
        <v>-7.8398346997092139E-2</v>
      </c>
      <c r="P33" s="26">
        <f t="shared" si="4"/>
        <v>-5.9442545419887638E-2</v>
      </c>
      <c r="Q33" s="26">
        <f t="shared" si="5"/>
        <v>-4.6026639672497954E-2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0.13943150469930018</v>
      </c>
      <c r="C34" s="24">
        <f t="shared" si="0"/>
        <v>0.12515196620040439</v>
      </c>
      <c r="D34" s="24">
        <f t="shared" si="0"/>
        <v>0.14212255020105483</v>
      </c>
      <c r="E34" s="24">
        <f t="shared" si="0"/>
        <v>5.419668123518686E-2</v>
      </c>
      <c r="F34" s="6"/>
      <c r="G34" s="25" t="s">
        <v>18</v>
      </c>
      <c r="H34" s="24">
        <f t="shared" si="1"/>
        <v>0.271567444927452</v>
      </c>
      <c r="I34" s="24">
        <f t="shared" si="1"/>
        <v>0.28121970981247946</v>
      </c>
      <c r="J34" s="24">
        <f t="shared" si="1"/>
        <v>0.26380349002647185</v>
      </c>
      <c r="K34" s="24">
        <f t="shared" si="1"/>
        <v>0.4757153959496882</v>
      </c>
      <c r="L34" s="6"/>
      <c r="M34" s="25" t="s">
        <v>19</v>
      </c>
      <c r="N34" s="26">
        <f t="shared" si="2"/>
        <v>-1.7935188405074427E-2</v>
      </c>
      <c r="O34" s="26">
        <f t="shared" si="3"/>
        <v>-3.9781036942674229E-2</v>
      </c>
      <c r="P34" s="26">
        <f t="shared" si="4"/>
        <v>-2.8148996293252897E-2</v>
      </c>
      <c r="Q34" s="26">
        <f t="shared" si="5"/>
        <v>1.2629786362428563E-2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9.4571086352404299E-2</v>
      </c>
      <c r="I35" s="24">
        <f t="shared" si="1"/>
        <v>8.2449685228292935E-2</v>
      </c>
      <c r="J35" s="24">
        <f t="shared" si="1"/>
        <v>8.0008680846240826E-2</v>
      </c>
      <c r="K35" s="24">
        <f t="shared" si="1"/>
        <v>0.28349435017752395</v>
      </c>
      <c r="L35" s="6"/>
      <c r="M35" s="25" t="s">
        <v>22</v>
      </c>
      <c r="N35" s="26">
        <f t="shared" si="2"/>
        <v>2.9483931185026453E-3</v>
      </c>
      <c r="O35" s="26">
        <f t="shared" si="3"/>
        <v>2.6589152970987448E-2</v>
      </c>
      <c r="P35" s="26">
        <f t="shared" si="4"/>
        <v>1.1709268069855483E-2</v>
      </c>
      <c r="Q35" s="26">
        <f t="shared" si="5"/>
        <v>-1.329548154709809E-2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0.31176409328433996</v>
      </c>
      <c r="C36" s="24">
        <f t="shared" si="0"/>
        <v>0.3841875006728579</v>
      </c>
      <c r="D36" s="24">
        <f t="shared" si="0"/>
        <v>0.26772904979825729</v>
      </c>
      <c r="E36" s="24">
        <f t="shared" si="0"/>
        <v>0.30618315642987387</v>
      </c>
      <c r="F36" s="6"/>
      <c r="G36" s="25" t="s">
        <v>11</v>
      </c>
      <c r="H36" s="24">
        <f t="shared" si="1"/>
        <v>4.1878778715848684E-2</v>
      </c>
      <c r="I36" s="24">
        <f t="shared" si="1"/>
        <v>4.1178421220249721E-2</v>
      </c>
      <c r="J36" s="24">
        <f t="shared" si="1"/>
        <v>3.7287497434814229E-2</v>
      </c>
      <c r="K36" s="24">
        <f t="shared" si="1"/>
        <v>3.5525391806266467E-2</v>
      </c>
      <c r="L36" s="6"/>
      <c r="M36" s="25" t="s">
        <v>24</v>
      </c>
      <c r="N36" s="26">
        <f t="shared" si="2"/>
        <v>-3.8985323699209977E-2</v>
      </c>
      <c r="O36" s="26">
        <f t="shared" si="3"/>
        <v>4.49975612808E-2</v>
      </c>
      <c r="P36" s="26">
        <f t="shared" si="4"/>
        <v>-2.0143684748757763E-2</v>
      </c>
      <c r="Q36" s="26">
        <f t="shared" si="5"/>
        <v>-3.021544231729368E-3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0.33121731262809978</v>
      </c>
      <c r="C37" s="24">
        <f t="shared" si="0"/>
        <v>0.13220291878774731</v>
      </c>
      <c r="D37" s="24">
        <f t="shared" si="0"/>
        <v>0.23552588358106796</v>
      </c>
      <c r="E37" s="24">
        <f t="shared" si="0"/>
        <v>0.1493611129231161</v>
      </c>
      <c r="F37" s="6"/>
      <c r="G37" s="25" t="s">
        <v>26</v>
      </c>
      <c r="H37" s="24">
        <f t="shared" si="1"/>
        <v>1.586870402467257E-2</v>
      </c>
      <c r="I37" s="24">
        <f t="shared" si="1"/>
        <v>9.2417790356242695E-3</v>
      </c>
      <c r="J37" s="24">
        <f t="shared" si="1"/>
        <v>6.8948758965270609E-3</v>
      </c>
      <c r="K37" s="24">
        <f t="shared" si="1"/>
        <v>5.8092208774749299E-3</v>
      </c>
      <c r="L37" s="6"/>
      <c r="M37" s="25" t="s">
        <v>27</v>
      </c>
      <c r="N37" s="26">
        <f t="shared" si="2"/>
        <v>-9.0100516432653058E-2</v>
      </c>
      <c r="O37" s="26">
        <f t="shared" si="3"/>
        <v>-6.8642193380765243E-2</v>
      </c>
      <c r="P37" s="26">
        <f t="shared" si="4"/>
        <v>-0.10608535049238688</v>
      </c>
      <c r="Q37" s="26">
        <f t="shared" si="5"/>
        <v>-9.3108961999483555E-2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2.5756227265173477E-3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0.15231856909292554</v>
      </c>
      <c r="I38" s="24">
        <f t="shared" si="1"/>
        <v>0.13286988548416692</v>
      </c>
      <c r="J38" s="24">
        <f t="shared" si="1"/>
        <v>0.12419105417758212</v>
      </c>
      <c r="K38" s="24">
        <f t="shared" si="1"/>
        <v>0.32482896286126534</v>
      </c>
      <c r="L38" s="6"/>
      <c r="M38" s="25" t="s">
        <v>30</v>
      </c>
      <c r="N38" s="26">
        <f t="shared" si="2"/>
        <v>-6.7606045394527331E-2</v>
      </c>
      <c r="O38" s="26">
        <f t="shared" si="3"/>
        <v>-1.1987846167708731E-2</v>
      </c>
      <c r="P38" s="26">
        <f t="shared" si="4"/>
        <v>-0.14725754808596356</v>
      </c>
      <c r="Q38" s="26">
        <f t="shared" si="5"/>
        <v>-5.4410901913936102E-3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0.35444297136104291</v>
      </c>
      <c r="C39" s="24">
        <f t="shared" si="0"/>
        <v>0.48360958053939479</v>
      </c>
      <c r="D39" s="24">
        <f t="shared" si="0"/>
        <v>0.4967450666206748</v>
      </c>
      <c r="E39" s="24">
        <f t="shared" si="0"/>
        <v>0.54445573064701003</v>
      </c>
      <c r="F39" s="6"/>
      <c r="G39" s="25" t="s">
        <v>32</v>
      </c>
      <c r="H39" s="24">
        <f t="shared" si="1"/>
        <v>0.11924887583452644</v>
      </c>
      <c r="I39" s="24">
        <f t="shared" si="1"/>
        <v>0.14834982432831254</v>
      </c>
      <c r="J39" s="24">
        <f t="shared" si="1"/>
        <v>0.13961243584888974</v>
      </c>
      <c r="K39" s="24">
        <f t="shared" si="1"/>
        <v>0.15088643308842287</v>
      </c>
      <c r="L39" s="6"/>
      <c r="M39" s="25" t="s">
        <v>33</v>
      </c>
      <c r="N39" s="26">
        <f t="shared" si="2"/>
        <v>0.26868631112099384</v>
      </c>
      <c r="O39" s="26">
        <f t="shared" si="3"/>
        <v>5.2389598251564194E-3</v>
      </c>
      <c r="P39" s="26">
        <f t="shared" si="4"/>
        <v>0.16546736182127761</v>
      </c>
      <c r="Q39" s="26">
        <f t="shared" si="5"/>
        <v>4.7866044143833872E-2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2.8566363415108965E-3</v>
      </c>
      <c r="I40" s="24">
        <f t="shared" si="1"/>
        <v>7.6532371124543221E-3</v>
      </c>
      <c r="J40" s="24">
        <f t="shared" si="1"/>
        <v>6.5894148628795508E-3</v>
      </c>
      <c r="K40" s="24">
        <f t="shared" si="1"/>
        <v>1.1196293589061867E-2</v>
      </c>
      <c r="L40" s="6"/>
      <c r="M40" s="25" t="s">
        <v>36</v>
      </c>
      <c r="N40" s="26">
        <f t="shared" si="2"/>
        <v>-0.11962402044567122</v>
      </c>
      <c r="O40" s="26">
        <f t="shared" si="3"/>
        <v>-6.5939720406406985E-2</v>
      </c>
      <c r="P40" s="26">
        <f t="shared" si="4"/>
        <v>-1.2149750178811694E-4</v>
      </c>
      <c r="Q40" s="26">
        <f t="shared" si="5"/>
        <v>-4.6490627967253541E-2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0.11639223949301554</v>
      </c>
      <c r="I41" s="24">
        <f t="shared" si="1"/>
        <v>0.1406965872158582</v>
      </c>
      <c r="J41" s="24">
        <f t="shared" si="1"/>
        <v>0.13302302098601018</v>
      </c>
      <c r="K41" s="24">
        <f t="shared" si="1"/>
        <v>0.13969013949936099</v>
      </c>
      <c r="L41" s="6"/>
      <c r="M41" s="25" t="s">
        <v>38</v>
      </c>
      <c r="N41" s="26">
        <f t="shared" si="2"/>
        <v>1.4641511490688137E-2</v>
      </c>
      <c r="O41" s="26">
        <f t="shared" si="3"/>
        <v>2.4472373889762596E-2</v>
      </c>
      <c r="P41" s="26">
        <f t="shared" si="4"/>
        <v>4.2512533991394715E-2</v>
      </c>
      <c r="Q41" s="26">
        <f t="shared" si="5"/>
        <v>3.3511133065036107E-2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</v>
      </c>
      <c r="I42" s="24">
        <f t="shared" si="1"/>
        <v>0</v>
      </c>
      <c r="J42" s="24">
        <f t="shared" si="1"/>
        <v>0</v>
      </c>
      <c r="K42" s="24">
        <f t="shared" si="1"/>
        <v>7.8179841987943172E-2</v>
      </c>
      <c r="L42" s="6"/>
      <c r="M42" s="25" t="s">
        <v>40</v>
      </c>
      <c r="N42" s="26">
        <f t="shared" si="2"/>
        <v>4.0581427761541965E-2</v>
      </c>
      <c r="O42" s="26">
        <f t="shared" si="3"/>
        <v>1.8423912508167065E-2</v>
      </c>
      <c r="P42" s="26">
        <f t="shared" si="4"/>
        <v>2.8800059761315368E-2</v>
      </c>
      <c r="Q42" s="26">
        <f t="shared" si="5"/>
        <v>6.1838149267469895E-2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0</v>
      </c>
      <c r="K43" s="24">
        <f t="shared" si="1"/>
        <v>1.3968982725959334E-2</v>
      </c>
      <c r="L43" s="6"/>
      <c r="M43" s="2" t="s">
        <v>49</v>
      </c>
      <c r="N43" s="26">
        <f>N24/H11</f>
        <v>3.4584187422711583E-2</v>
      </c>
      <c r="O43" s="26">
        <f>O24/I11</f>
        <v>0.13528233874812901</v>
      </c>
      <c r="P43" s="26">
        <f>P24/J11</f>
        <v>7.4284560028781602E-2</v>
      </c>
      <c r="Q43" s="26">
        <f>Q24/K11</f>
        <v>0.12550165221673062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</v>
      </c>
      <c r="I44" s="24">
        <f t="shared" si="1"/>
        <v>0</v>
      </c>
      <c r="J44" s="24">
        <f t="shared" si="1"/>
        <v>0</v>
      </c>
      <c r="K44" s="24">
        <f t="shared" si="1"/>
        <v>4.3713567473608717E-2</v>
      </c>
      <c r="L44" s="6"/>
      <c r="M44" s="2" t="s">
        <v>50</v>
      </c>
      <c r="N44" s="26">
        <f>N24/B16</f>
        <v>3.5243458832653209E-2</v>
      </c>
      <c r="O44" s="26">
        <f>O24/C16</f>
        <v>0.14786326251744944</v>
      </c>
      <c r="P44" s="26">
        <f>P24/D16</f>
        <v>8.5020378189919477E-2</v>
      </c>
      <c r="Q44" s="26">
        <f>Q24/E16</f>
        <v>0.15606799056929055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0</v>
      </c>
      <c r="J45" s="24">
        <f t="shared" si="1"/>
        <v>0</v>
      </c>
      <c r="K45" s="24">
        <f t="shared" si="1"/>
        <v>0</v>
      </c>
      <c r="L45" s="6"/>
      <c r="M45" s="2" t="s">
        <v>51</v>
      </c>
      <c r="N45" s="26">
        <f>N24/B20</f>
        <v>9.9433369202724289E-2</v>
      </c>
      <c r="O45" s="26">
        <f>O24/C20</f>
        <v>0.30574924167658113</v>
      </c>
      <c r="P45" s="26">
        <f>P24/D20</f>
        <v>0.17115495231448943</v>
      </c>
      <c r="Q45" s="26">
        <f>Q24/E20</f>
        <v>0.28664955070603337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</v>
      </c>
      <c r="I46" s="24">
        <f t="shared" si="1"/>
        <v>0</v>
      </c>
      <c r="J46" s="24">
        <f t="shared" si="1"/>
        <v>0</v>
      </c>
      <c r="K46" s="24">
        <f t="shared" si="1"/>
        <v>0.16018743128773613</v>
      </c>
      <c r="L46" s="6"/>
      <c r="M46" s="2" t="s">
        <v>52</v>
      </c>
      <c r="N46" s="26">
        <f>N24/H22</f>
        <v>0.29713482250495671</v>
      </c>
      <c r="O46" s="26">
        <f>O24/I22</f>
        <v>0.96151826725247713</v>
      </c>
      <c r="P46" s="26">
        <f>P24/J22</f>
        <v>0.55843386714690524</v>
      </c>
      <c r="Q46" s="26">
        <f>Q24/K22</f>
        <v>0.89842885594157995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5.4593873614787861E-2</v>
      </c>
      <c r="O47" s="26">
        <f>O24/(C22-C20)</f>
        <v>0.28634005772589621</v>
      </c>
      <c r="P47" s="26">
        <f>P24/(D22-D20)</f>
        <v>0.16894097315452625</v>
      </c>
      <c r="Q47" s="26">
        <f>Q24/(E22-E20)</f>
        <v>0.34259675967596759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>N24/H25</f>
        <v>#DIV/0!</v>
      </c>
      <c r="O48" s="26" t="e">
        <f>O24/I25</f>
        <v>#DIV/0!</v>
      </c>
      <c r="P48" s="26" t="e">
        <f>P24/J25</f>
        <v>#DIV/0!</v>
      </c>
      <c r="Q48" s="26">
        <f>Q24/K25</f>
        <v>2.871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0.38384005766006946</v>
      </c>
      <c r="O49" s="26">
        <f>O24/(O18*-1)</f>
        <v>1.9708335658463607</v>
      </c>
      <c r="P49" s="26">
        <f>P24/(P18*-1)</f>
        <v>0.70023391244875577</v>
      </c>
      <c r="Q49" s="26">
        <f>Q24/(Q18*-1)</f>
        <v>1.3479008843147315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0.24561251899507591</v>
      </c>
      <c r="I50" s="28">
        <f>LN(I13/J13)</f>
        <v>0.21248505621487293</v>
      </c>
      <c r="J50" s="28">
        <f>LN(J13/K13)</f>
        <v>-0.24720357529723355</v>
      </c>
      <c r="M50" s="2"/>
      <c r="N50" s="12"/>
      <c r="O50" s="12"/>
    </row>
    <row r="51" spans="1:26">
      <c r="A51" s="29" t="s">
        <v>57</v>
      </c>
      <c r="B51" s="30">
        <f>B11/B17</f>
        <v>0.68419910486769653</v>
      </c>
      <c r="C51" s="30">
        <f>C11/C17</f>
        <v>0.50756258390402342</v>
      </c>
      <c r="D51" s="30">
        <f>D11/D17</f>
        <v>0.7333557853162197</v>
      </c>
      <c r="E51" s="30">
        <f>E11/E17</f>
        <v>0.83081330392911534</v>
      </c>
      <c r="G51" s="29" t="s">
        <v>58</v>
      </c>
      <c r="H51" s="63">
        <f>H13/H11</f>
        <v>0.25906098172793524</v>
      </c>
      <c r="I51" s="63">
        <f>I13/I11</f>
        <v>0.25499390228998836</v>
      </c>
      <c r="J51" s="63">
        <f>J13/J11</f>
        <v>0.24264381998449297</v>
      </c>
      <c r="K51" s="63">
        <f>K13/K11</f>
        <v>0.45192428685217662</v>
      </c>
      <c r="M51" s="2" t="s">
        <v>59</v>
      </c>
      <c r="N51" s="32">
        <f>(N11-N24-N25)/B16</f>
        <v>0.24408043281570249</v>
      </c>
      <c r="O51" s="32">
        <f>(O11-O24-O25)/C16</f>
        <v>9.404619453507812E-2</v>
      </c>
      <c r="P51" s="32">
        <f>(P11-P24-P25)/D16</f>
        <v>0.35718425475575039</v>
      </c>
      <c r="Q51" s="32">
        <f>(Q11-Q24-Q25)/E16</f>
        <v>0.14019637992464129</v>
      </c>
    </row>
    <row r="52" spans="1:26">
      <c r="A52" s="29" t="s">
        <v>60</v>
      </c>
      <c r="B52" s="31">
        <f>H20/B16</f>
        <v>0.12152209317355098</v>
      </c>
      <c r="C52" s="31">
        <f>I20/C16</f>
        <v>0.16214599201980576</v>
      </c>
      <c r="D52" s="31">
        <f>J20/D16</f>
        <v>0.15978962642155348</v>
      </c>
      <c r="E52" s="31">
        <f>K20/E16</f>
        <v>0.18763531794475144</v>
      </c>
      <c r="F52" s="31"/>
      <c r="G52" s="29" t="s">
        <v>61</v>
      </c>
      <c r="H52" s="63">
        <f>H16/H11</f>
        <v>9.4571086352404299E-2</v>
      </c>
      <c r="I52" s="63">
        <f>I16/I11</f>
        <v>8.2449685228292935E-2</v>
      </c>
      <c r="J52" s="63">
        <f>J16/J11</f>
        <v>8.0008680846240826E-2</v>
      </c>
      <c r="K52" s="63">
        <f>K16/K11</f>
        <v>0.28349435017752395</v>
      </c>
      <c r="M52" s="6"/>
    </row>
    <row r="53" spans="1:26">
      <c r="A53" s="29" t="s">
        <v>62</v>
      </c>
      <c r="B53" s="31">
        <f>H20/B20</f>
        <v>0.34285372540161352</v>
      </c>
      <c r="C53" s="31">
        <f>I20/C20</f>
        <v>0.33528283670260611</v>
      </c>
      <c r="D53" s="31">
        <f>J20/D20</f>
        <v>0.32167330318666715</v>
      </c>
      <c r="E53" s="31">
        <f>K20/E20</f>
        <v>0.34462915418627871</v>
      </c>
      <c r="G53" s="29" t="s">
        <v>11</v>
      </c>
      <c r="H53" s="63">
        <f>H17/H11</f>
        <v>4.1878778715848684E-2</v>
      </c>
      <c r="I53" s="63">
        <f>I17/I11</f>
        <v>4.1178421220249721E-2</v>
      </c>
      <c r="J53" s="63">
        <f>J17/J11</f>
        <v>3.7287497434814229E-2</v>
      </c>
      <c r="K53" s="63">
        <f>K17/K11</f>
        <v>3.5525391806266467E-2</v>
      </c>
      <c r="M53" s="6"/>
    </row>
    <row r="54" spans="1:26">
      <c r="A54" s="29" t="s">
        <v>63</v>
      </c>
      <c r="B54" s="30">
        <f>H11/B12</f>
        <v>3.4215110612940265</v>
      </c>
      <c r="C54" s="30">
        <f>I11/C12</f>
        <v>3.5734656591445795</v>
      </c>
      <c r="D54" s="30">
        <f>J11/D12</f>
        <v>4.2216349944267728</v>
      </c>
      <c r="E54" s="30">
        <f>K11/E12</f>
        <v>4.2933495093570704</v>
      </c>
      <c r="G54" s="29" t="s">
        <v>64</v>
      </c>
      <c r="H54" s="63">
        <f>H25/H22</f>
        <v>0</v>
      </c>
      <c r="I54" s="63">
        <f>I25/I22</f>
        <v>0</v>
      </c>
      <c r="J54" s="63">
        <f>J25/J22</f>
        <v>0</v>
      </c>
      <c r="K54" s="63">
        <f>K25/K22</f>
        <v>0.31293237754844305</v>
      </c>
      <c r="M54" s="6"/>
    </row>
    <row r="55" spans="1:26">
      <c r="A55" s="29" t="s">
        <v>65</v>
      </c>
      <c r="B55" s="31">
        <f>(B22-B20)/B16</f>
        <v>0.64555702863895714</v>
      </c>
      <c r="C55" s="31">
        <f>(C22-C20)/C16</f>
        <v>0.51639041946060527</v>
      </c>
      <c r="D55" s="31">
        <f>(D22-D20)/D16</f>
        <v>0.50325493337932525</v>
      </c>
      <c r="E55" s="31">
        <f>(E22-E20)/E16</f>
        <v>0.45554426935298997</v>
      </c>
      <c r="G55" s="29" t="s">
        <v>66</v>
      </c>
      <c r="H55" s="63">
        <f>H22/H11</f>
        <v>0.11639223949301554</v>
      </c>
      <c r="I55" s="63">
        <f>I22/I11</f>
        <v>0.1406965872158582</v>
      </c>
      <c r="J55" s="63">
        <f>J22/J11</f>
        <v>0.13302302098601018</v>
      </c>
      <c r="K55" s="63">
        <f>K22/K11</f>
        <v>0.13969013949936099</v>
      </c>
      <c r="L55" s="31"/>
      <c r="M55" s="6"/>
    </row>
    <row r="56" spans="1:26">
      <c r="A56" s="29" t="s">
        <v>67</v>
      </c>
      <c r="B56" s="31">
        <f>(B22-B20)/B20</f>
        <v>1.8213283399584737</v>
      </c>
      <c r="C56" s="31">
        <f>(C22-C20)/C20</f>
        <v>1.067783683864675</v>
      </c>
      <c r="D56" s="31">
        <f>(D22-D20)/D20</f>
        <v>1.013105045618141</v>
      </c>
      <c r="E56" s="31">
        <f>(E22-E20)/E20</f>
        <v>0.83669661959777497</v>
      </c>
      <c r="G56" s="33" t="s">
        <v>68</v>
      </c>
      <c r="H56" s="34">
        <f>H13/B16</f>
        <v>0.26399940912532083</v>
      </c>
      <c r="I56" s="34">
        <f>I13/C16</f>
        <v>0.27870770614671131</v>
      </c>
      <c r="J56" s="34">
        <f>J13/D16</f>
        <v>0.27771140237668979</v>
      </c>
      <c r="K56" s="34">
        <f>K13/E16</f>
        <v>0.56199192674115561</v>
      </c>
      <c r="M56" s="6"/>
    </row>
    <row r="57" spans="1:26">
      <c r="A57" s="29" t="s">
        <v>69</v>
      </c>
      <c r="B57" s="30">
        <f>H11/B16</f>
        <v>1.0190627988994958</v>
      </c>
      <c r="C57" s="30">
        <f>I11/C16</f>
        <v>1.09299753305377</v>
      </c>
      <c r="D57" s="30">
        <f>J11/D16</f>
        <v>1.1445228746993759</v>
      </c>
      <c r="E57" s="30">
        <f>K11/E16</f>
        <v>1.2435532745001197</v>
      </c>
      <c r="G57" s="33" t="s">
        <v>70</v>
      </c>
      <c r="H57" s="35">
        <f>H25/$B$5</f>
        <v>0</v>
      </c>
      <c r="I57" s="35">
        <f>I25/$B$5</f>
        <v>0</v>
      </c>
      <c r="J57" s="35">
        <f>J25/$B$5</f>
        <v>0</v>
      </c>
      <c r="K57" s="35">
        <f>K25/$B$5</f>
        <v>1.4610271020527432E-2</v>
      </c>
      <c r="M57" s="6"/>
    </row>
    <row r="58" spans="1:26">
      <c r="A58" s="29" t="s">
        <v>71</v>
      </c>
      <c r="B58" s="30">
        <f>B16/B20</f>
        <v>2.8213283399584737</v>
      </c>
      <c r="C58" s="30">
        <f>C16/C20</f>
        <v>2.067783683864675</v>
      </c>
      <c r="D58" s="30">
        <f>D16/D20</f>
        <v>2.0131050456181412</v>
      </c>
      <c r="E58" s="30">
        <f>E16/E20</f>
        <v>1.836696619597775</v>
      </c>
      <c r="G58" s="36" t="s">
        <v>72</v>
      </c>
      <c r="H58" s="37">
        <f>H22/$B$7/1000</f>
        <v>3.8235809523809525</v>
      </c>
      <c r="I58" s="37">
        <f>I22/$B$7/1000</f>
        <v>3.6731095238095239</v>
      </c>
      <c r="J58" s="37">
        <f>J22/$B$7/1000</f>
        <v>2.9509142857142856</v>
      </c>
      <c r="K58" s="37">
        <f>K22/$B$7/1000</f>
        <v>2.1303857142857141</v>
      </c>
      <c r="M58" s="6"/>
    </row>
    <row r="59" spans="1:26">
      <c r="G59" s="36" t="s">
        <v>73</v>
      </c>
      <c r="H59" s="37">
        <f>B20/$B$7/1000</f>
        <v>11.425933333333333</v>
      </c>
      <c r="I59" s="37">
        <f>C20/$B$7/1000</f>
        <v>11.551171428571427</v>
      </c>
      <c r="J59" s="37">
        <f>D20/$B$7/1000</f>
        <v>9.6280619047619034</v>
      </c>
      <c r="K59" s="37">
        <f>E20/$B$7/1000</f>
        <v>6.677142857142857</v>
      </c>
      <c r="L59" s="65"/>
      <c r="M59" s="6"/>
    </row>
    <row r="60" spans="1:26">
      <c r="G60" s="33" t="s">
        <v>74</v>
      </c>
      <c r="H60" s="38">
        <f>SQRT(22.5*H58*H59)</f>
        <v>31.352505063733403</v>
      </c>
      <c r="I60" s="38">
        <f>SQRT(22.5*I58*I59)</f>
        <v>30.897348594538805</v>
      </c>
      <c r="J60" s="38">
        <f>SQRT(22.5*J58*J59)</f>
        <v>25.283604804622431</v>
      </c>
      <c r="K60" s="38">
        <f>SQRT(22.5*K58*K59)</f>
        <v>17.89022133708233</v>
      </c>
      <c r="M60" s="6"/>
    </row>
    <row r="61" spans="1:26">
      <c r="G61" s="33" t="s">
        <v>75</v>
      </c>
      <c r="H61" s="39">
        <f>H58-(B20*0.08/1000/$B$7)</f>
        <v>2.9095062857142859</v>
      </c>
      <c r="I61" s="39">
        <f>I58-(C20*0.08/1000/$B$7)</f>
        <v>2.7490158095238098</v>
      </c>
      <c r="J61" s="39">
        <f>J58-(D20*0.08/1000/$B$7)</f>
        <v>2.1806693333333333</v>
      </c>
      <c r="K61" s="39">
        <f>K58-(E20*0.08/1000/$B$7)</f>
        <v>1.5962142857142854</v>
      </c>
      <c r="M61" s="6"/>
    </row>
    <row r="62" spans="1:26">
      <c r="G62" s="40" t="s">
        <v>76</v>
      </c>
      <c r="H62" s="76"/>
      <c r="I62" s="76">
        <v>2.25</v>
      </c>
      <c r="J62" s="76">
        <v>2.25</v>
      </c>
      <c r="K62" s="76">
        <v>1</v>
      </c>
      <c r="M62" s="6"/>
    </row>
    <row r="63" spans="1:26">
      <c r="A63" s="2"/>
      <c r="G63" s="6"/>
      <c r="M63" s="6"/>
    </row>
    <row r="64" spans="1:26">
      <c r="G64" s="2" t="s">
        <v>85</v>
      </c>
      <c r="H64" s="47">
        <f>SUM(H62:J62)</f>
        <v>4.5</v>
      </c>
      <c r="M64" s="6"/>
    </row>
    <row r="65" spans="7:13">
      <c r="G65" s="6"/>
      <c r="M65" s="6"/>
    </row>
    <row r="66" spans="7:13">
      <c r="G66" s="6"/>
      <c r="M66" s="6"/>
    </row>
    <row r="67" spans="7:13">
      <c r="G67" s="6"/>
      <c r="M67" s="6"/>
    </row>
    <row r="68" spans="7:13">
      <c r="G68" s="6"/>
      <c r="M68" s="6"/>
    </row>
    <row r="69" spans="7:13">
      <c r="G69" s="6"/>
      <c r="M69" s="6"/>
    </row>
    <row r="70" spans="7:13">
      <c r="G70" s="6"/>
      <c r="M70" s="6"/>
    </row>
    <row r="71" spans="7:13">
      <c r="G71" s="6"/>
      <c r="M71" s="6"/>
    </row>
    <row r="72" spans="7:13">
      <c r="G72" s="6"/>
      <c r="M72" s="6"/>
    </row>
    <row r="73" spans="7:13">
      <c r="G73" s="6"/>
      <c r="M73" s="6"/>
    </row>
    <row r="74" spans="7:13">
      <c r="G74" s="2" t="s">
        <v>86</v>
      </c>
      <c r="H74" s="6">
        <f>H59*$B$7*1000/$B$5</f>
        <v>0.25040397399371761</v>
      </c>
      <c r="I74" s="6">
        <f>I59*$B$7*1000/$B$5</f>
        <v>0.25314861776400233</v>
      </c>
      <c r="J74" s="6">
        <f>J59*$B$7*1000/$B$5</f>
        <v>0.21100289074648046</v>
      </c>
      <c r="K74" s="6">
        <f>K59*$B$7*1000/$B$5</f>
        <v>0.14633230017845403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8.9306134545340976E-2</v>
      </c>
      <c r="I77" s="28">
        <f>(I15-I16)/$B$6</f>
        <v>7.9702492320180021E-2</v>
      </c>
      <c r="J77" s="28">
        <f>(J15-J16)/$B$6</f>
        <v>6.2622979332048564E-2</v>
      </c>
      <c r="K77" s="28">
        <f>(K15-K16)/$B$6</f>
        <v>4.502607821922526E-2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zoomScaleNormal="100" workbookViewId="0"/>
  </sheetViews>
  <sheetFormatPr defaultRowHeight="15"/>
  <cols>
    <col min="1" max="7" width="15.140625"/>
    <col min="8" max="8" width="22.5703125"/>
    <col min="9" max="14" width="15.140625"/>
    <col min="15" max="15" width="23.140625"/>
    <col min="16" max="29" width="15.140625"/>
    <col min="30" max="1025" width="14.42578125"/>
  </cols>
  <sheetData>
    <row r="1" spans="1:20">
      <c r="A1" s="2"/>
      <c r="B1" s="1">
        <v>6002</v>
      </c>
      <c r="C1" s="1">
        <v>6002</v>
      </c>
      <c r="H1" s="6"/>
      <c r="O1" s="6"/>
    </row>
    <row r="2" spans="1:20">
      <c r="A2" s="2"/>
      <c r="B2" t="str">
        <f ca="1">IFERROR(__xludf.dummyfunction("GoogleFinance(""TADAWUL:""&amp;B1,""eps"")"),"3.21")</f>
        <v>3.21</v>
      </c>
      <c r="C2" t="str">
        <f ca="1">IFERROR(__xludf.dummyfunction("GoogleFinance(""TADAWUL:""&amp;B1,""eps"")"),"3.21")</f>
        <v>3.21</v>
      </c>
      <c r="H2" s="6"/>
      <c r="O2" s="6"/>
    </row>
    <row r="3" spans="1:20">
      <c r="A3" s="2"/>
      <c r="H3" s="6"/>
      <c r="O3" s="6"/>
    </row>
    <row r="4" spans="1:20">
      <c r="A4" s="2"/>
      <c r="H4" s="6"/>
      <c r="O4" s="6"/>
    </row>
    <row r="5" spans="1:20">
      <c r="A5" s="2" t="s">
        <v>0</v>
      </c>
      <c r="B5" s="3" t="str">
        <f ca="1">IFERROR(__xludf.dummyfunction("GoogleFinance(""TADAWUL:""&amp;B1,""marketcap"")/1000"),"3,215,719.27")</f>
        <v>3,215,719.27</v>
      </c>
      <c r="C5" s="3" t="str">
        <f ca="1">IFERROR(__xludf.dummyfunction("GoogleFinance(""TADAWUL:""&amp;B1,""marketcap"")/1000"),"3,215,719.27")</f>
        <v>3,215,719.27</v>
      </c>
      <c r="H5" s="6"/>
      <c r="O5" s="6"/>
    </row>
    <row r="6" spans="1:20">
      <c r="A6" s="2" t="s">
        <v>1</v>
      </c>
      <c r="B6" s="4">
        <f ca="1">B5*1000+(B22-B20)-P23</f>
        <v>3216185684</v>
      </c>
      <c r="C6" s="4">
        <f ca="1">C5*1000+(C22-C20)-Q23</f>
        <v>3216150137</v>
      </c>
      <c r="H6" s="6"/>
      <c r="O6" s="6"/>
    </row>
    <row r="7" spans="1:20">
      <c r="A7" s="2" t="s">
        <v>2</v>
      </c>
      <c r="B7" s="5" t="str">
        <f ca="1">IFERROR(__xludf.dummyfunction("GoogleFinance(""TADAWUL:""&amp;B1,""shares"")/1000000"),"64.44327")</f>
        <v>64.44327</v>
      </c>
      <c r="C7" s="5" t="str">
        <f ca="1">IFERROR(__xludf.dummyfunction("GoogleFinance(""TADAWUL:""&amp;B1,""shares"")/1000000"),"64.44327")</f>
        <v>64.44327</v>
      </c>
      <c r="H7" s="6"/>
      <c r="O7" s="6"/>
    </row>
    <row r="8" spans="1:20">
      <c r="H8" s="6"/>
      <c r="O8" s="6"/>
    </row>
    <row r="9" spans="1:20" ht="15" customHeight="1">
      <c r="H9" s="6"/>
      <c r="I9" s="77"/>
      <c r="J9" s="77"/>
      <c r="O9" s="6"/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22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22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22">
        <v>41274</v>
      </c>
    </row>
    <row r="11" spans="1:20">
      <c r="A11" s="10" t="s">
        <v>6</v>
      </c>
      <c r="B11" s="11">
        <v>212174</v>
      </c>
      <c r="C11" s="11">
        <v>143112</v>
      </c>
      <c r="D11" s="11">
        <v>139537</v>
      </c>
      <c r="E11" s="11">
        <v>139781</v>
      </c>
      <c r="F11" s="56">
        <v>138818</v>
      </c>
      <c r="H11" s="10" t="s">
        <v>7</v>
      </c>
      <c r="I11" s="11">
        <v>1156683</v>
      </c>
      <c r="J11" s="11">
        <v>1077005</v>
      </c>
      <c r="K11" s="11">
        <v>910138</v>
      </c>
      <c r="L11" s="11">
        <v>848699</v>
      </c>
      <c r="M11" s="56">
        <v>842015</v>
      </c>
      <c r="O11" s="10" t="s">
        <v>8</v>
      </c>
      <c r="P11" s="11">
        <v>217496</v>
      </c>
      <c r="Q11" s="11">
        <v>202682</v>
      </c>
      <c r="R11" s="11">
        <v>205804</v>
      </c>
      <c r="S11" s="11">
        <v>191423</v>
      </c>
      <c r="T11" s="56">
        <v>181161</v>
      </c>
    </row>
    <row r="12" spans="1:20">
      <c r="A12" s="10" t="s">
        <v>9</v>
      </c>
      <c r="B12" s="11">
        <v>101762</v>
      </c>
      <c r="C12" s="11">
        <v>108946</v>
      </c>
      <c r="D12" s="11">
        <v>91136</v>
      </c>
      <c r="E12" s="11">
        <v>78009</v>
      </c>
      <c r="F12" s="56">
        <v>70844</v>
      </c>
      <c r="H12" s="10" t="s">
        <v>10</v>
      </c>
      <c r="I12" s="11">
        <v>809080</v>
      </c>
      <c r="J12" s="11">
        <v>756209</v>
      </c>
      <c r="K12" s="11">
        <v>618739</v>
      </c>
      <c r="L12" s="11">
        <v>575552</v>
      </c>
      <c r="M12" s="56">
        <v>575657</v>
      </c>
      <c r="O12" s="10" t="s">
        <v>11</v>
      </c>
      <c r="P12" s="11">
        <v>79819</v>
      </c>
      <c r="Q12" s="11">
        <v>81273</v>
      </c>
      <c r="R12" s="11">
        <v>55924</v>
      </c>
      <c r="S12" s="11">
        <v>51256</v>
      </c>
      <c r="T12" s="56">
        <v>45985</v>
      </c>
    </row>
    <row r="13" spans="1:20">
      <c r="A13" s="10" t="s">
        <v>12</v>
      </c>
      <c r="B13" s="18" t="s">
        <v>84</v>
      </c>
      <c r="C13" s="18" t="s">
        <v>84</v>
      </c>
      <c r="D13" s="11">
        <v>4000</v>
      </c>
      <c r="E13" s="11">
        <v>4000</v>
      </c>
      <c r="F13" s="56">
        <v>4000</v>
      </c>
      <c r="H13" s="10" t="s">
        <v>13</v>
      </c>
      <c r="I13" s="11">
        <v>347603</v>
      </c>
      <c r="J13" s="11">
        <v>320796</v>
      </c>
      <c r="K13" s="11">
        <v>291399</v>
      </c>
      <c r="L13" s="11">
        <v>273147</v>
      </c>
      <c r="M13" s="56">
        <v>266358</v>
      </c>
      <c r="O13" s="10" t="s">
        <v>14</v>
      </c>
      <c r="P13" s="13">
        <v>-6309</v>
      </c>
      <c r="Q13" s="13">
        <v>-3195</v>
      </c>
      <c r="R13" s="13">
        <v>-3124</v>
      </c>
      <c r="S13" s="11">
        <v>487</v>
      </c>
      <c r="T13" s="56">
        <v>3037</v>
      </c>
    </row>
    <row r="14" spans="1:20">
      <c r="A14" s="10" t="s">
        <v>15</v>
      </c>
      <c r="B14" s="11">
        <v>1038254</v>
      </c>
      <c r="C14" s="11">
        <v>937171</v>
      </c>
      <c r="D14" s="11">
        <v>741285</v>
      </c>
      <c r="E14" s="11">
        <v>568646</v>
      </c>
      <c r="F14" s="56">
        <v>493768</v>
      </c>
      <c r="H14" s="10" t="s">
        <v>16</v>
      </c>
      <c r="I14" s="11">
        <v>3404</v>
      </c>
      <c r="J14" s="11">
        <v>6406</v>
      </c>
      <c r="K14" s="11">
        <v>17718</v>
      </c>
      <c r="L14" s="11">
        <v>10308</v>
      </c>
      <c r="M14" s="56">
        <v>5983</v>
      </c>
      <c r="O14" s="10" t="s">
        <v>9</v>
      </c>
      <c r="P14" s="11">
        <v>7192</v>
      </c>
      <c r="Q14" s="13">
        <v>-17810</v>
      </c>
      <c r="R14" s="13">
        <v>-13127</v>
      </c>
      <c r="S14" s="13">
        <v>-7165</v>
      </c>
      <c r="T14" s="58">
        <v>-5683</v>
      </c>
    </row>
    <row r="15" spans="1:20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F15" s="57"/>
      <c r="H15" s="10" t="s">
        <v>18</v>
      </c>
      <c r="I15" s="11">
        <v>351007</v>
      </c>
      <c r="J15" s="11">
        <v>327202</v>
      </c>
      <c r="K15" s="11">
        <v>309117</v>
      </c>
      <c r="L15" s="11">
        <v>283455</v>
      </c>
      <c r="M15" s="56">
        <v>272341</v>
      </c>
      <c r="O15" s="10" t="s">
        <v>19</v>
      </c>
      <c r="P15" s="13">
        <v>-12436</v>
      </c>
      <c r="Q15" s="13">
        <v>-6251</v>
      </c>
      <c r="R15" s="13">
        <v>-25119</v>
      </c>
      <c r="S15" s="13">
        <v>-4345</v>
      </c>
      <c r="T15" s="58">
        <v>-3944</v>
      </c>
    </row>
    <row r="16" spans="1:20">
      <c r="A16" s="10" t="s">
        <v>20</v>
      </c>
      <c r="B16" s="11">
        <v>1352190</v>
      </c>
      <c r="C16" s="11">
        <v>1189229</v>
      </c>
      <c r="D16" s="11">
        <v>975958</v>
      </c>
      <c r="E16" s="11">
        <v>790436</v>
      </c>
      <c r="F16" s="56">
        <v>707430</v>
      </c>
      <c r="H16" s="10" t="s">
        <v>21</v>
      </c>
      <c r="I16" s="11">
        <v>121950</v>
      </c>
      <c r="J16" s="11">
        <v>112715</v>
      </c>
      <c r="K16" s="11">
        <v>97783</v>
      </c>
      <c r="L16" s="11">
        <v>85352</v>
      </c>
      <c r="M16" s="56">
        <v>85715</v>
      </c>
      <c r="O16" s="10" t="s">
        <v>22</v>
      </c>
      <c r="P16" s="13">
        <v>-6869</v>
      </c>
      <c r="Q16" s="11">
        <v>20623</v>
      </c>
      <c r="R16" s="11">
        <v>9242</v>
      </c>
      <c r="S16" s="13">
        <v>-3761</v>
      </c>
      <c r="T16" s="56">
        <v>7022</v>
      </c>
    </row>
    <row r="17" spans="1:29">
      <c r="A17" s="10" t="s">
        <v>23</v>
      </c>
      <c r="B17" s="11">
        <v>241601</v>
      </c>
      <c r="C17" s="11">
        <v>204173</v>
      </c>
      <c r="D17" s="11">
        <v>134231</v>
      </c>
      <c r="E17" s="11">
        <v>107712</v>
      </c>
      <c r="F17" s="56">
        <v>112569</v>
      </c>
      <c r="H17" s="10" t="s">
        <v>11</v>
      </c>
      <c r="I17" s="18" t="s">
        <v>84</v>
      </c>
      <c r="J17" s="18" t="s">
        <v>84</v>
      </c>
      <c r="K17" s="18" t="s">
        <v>84</v>
      </c>
      <c r="L17" s="18" t="s">
        <v>84</v>
      </c>
      <c r="M17" s="57"/>
      <c r="O17" s="10" t="s">
        <v>24</v>
      </c>
      <c r="P17" s="11">
        <v>14490</v>
      </c>
      <c r="Q17" s="11">
        <v>9282</v>
      </c>
      <c r="R17" s="11">
        <v>10427</v>
      </c>
      <c r="S17" s="13">
        <v>-3039</v>
      </c>
      <c r="T17" s="56">
        <v>14644</v>
      </c>
    </row>
    <row r="18" spans="1:29">
      <c r="A18" s="10" t="s">
        <v>25</v>
      </c>
      <c r="B18" s="11">
        <v>298039</v>
      </c>
      <c r="C18" s="11">
        <v>249602</v>
      </c>
      <c r="D18" s="11">
        <v>163935</v>
      </c>
      <c r="E18" s="11">
        <v>81886</v>
      </c>
      <c r="F18" s="56">
        <v>73395</v>
      </c>
      <c r="H18" s="10" t="s">
        <v>26</v>
      </c>
      <c r="I18" s="11">
        <v>7311</v>
      </c>
      <c r="J18" s="11">
        <v>7805</v>
      </c>
      <c r="K18" s="11">
        <v>2321</v>
      </c>
      <c r="L18" s="11">
        <v>1505</v>
      </c>
      <c r="M18" s="56">
        <v>865</v>
      </c>
      <c r="O18" s="10" t="s">
        <v>27</v>
      </c>
      <c r="P18" s="13">
        <v>-178517</v>
      </c>
      <c r="Q18" s="13">
        <v>-288890</v>
      </c>
      <c r="R18" s="13">
        <v>-236573</v>
      </c>
      <c r="S18" s="13">
        <v>-131099</v>
      </c>
      <c r="T18" s="58">
        <v>-158467</v>
      </c>
    </row>
    <row r="19" spans="1:29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57"/>
      <c r="H19" s="10" t="s">
        <v>29</v>
      </c>
      <c r="I19" s="11">
        <v>129261</v>
      </c>
      <c r="J19" s="11">
        <v>120520</v>
      </c>
      <c r="K19" s="11">
        <v>100104</v>
      </c>
      <c r="L19" s="11">
        <v>86857</v>
      </c>
      <c r="M19" s="56">
        <v>86580</v>
      </c>
      <c r="O19" s="10" t="s">
        <v>30</v>
      </c>
      <c r="P19" s="11">
        <v>2775</v>
      </c>
      <c r="Q19" s="11">
        <v>17997</v>
      </c>
      <c r="R19" s="11">
        <v>5796</v>
      </c>
      <c r="S19" s="11">
        <v>8366</v>
      </c>
      <c r="T19" s="56">
        <v>1058</v>
      </c>
    </row>
    <row r="20" spans="1:29">
      <c r="A20" s="10" t="s">
        <v>31</v>
      </c>
      <c r="B20" s="11">
        <v>812550</v>
      </c>
      <c r="C20" s="11">
        <v>735454</v>
      </c>
      <c r="D20" s="11">
        <v>677792</v>
      </c>
      <c r="E20" s="11">
        <v>600838</v>
      </c>
      <c r="F20" s="56">
        <v>521466</v>
      </c>
      <c r="H20" s="10" t="s">
        <v>32</v>
      </c>
      <c r="I20" s="11">
        <v>221746</v>
      </c>
      <c r="J20" s="11">
        <v>206682</v>
      </c>
      <c r="K20" s="11">
        <v>209013</v>
      </c>
      <c r="L20" s="11">
        <v>196598</v>
      </c>
      <c r="M20" s="56">
        <v>185761</v>
      </c>
      <c r="O20" s="10" t="s">
        <v>33</v>
      </c>
      <c r="P20" s="11">
        <v>74075</v>
      </c>
      <c r="Q20" s="11">
        <v>123612</v>
      </c>
      <c r="R20" s="11">
        <v>94219</v>
      </c>
      <c r="S20" s="11">
        <v>7033</v>
      </c>
      <c r="T20" s="56">
        <v>16961</v>
      </c>
    </row>
    <row r="21" spans="1:29">
      <c r="A21" s="10" t="s">
        <v>34</v>
      </c>
      <c r="B21" s="18" t="s">
        <v>84</v>
      </c>
      <c r="C21" s="18" t="s">
        <v>84</v>
      </c>
      <c r="D21" s="18" t="s">
        <v>84</v>
      </c>
      <c r="E21" s="18" t="s">
        <v>84</v>
      </c>
      <c r="F21" s="59"/>
      <c r="H21" s="10" t="s">
        <v>35</v>
      </c>
      <c r="I21" s="11">
        <v>4250</v>
      </c>
      <c r="J21" s="11">
        <v>4000</v>
      </c>
      <c r="K21" s="11">
        <v>3209</v>
      </c>
      <c r="L21" s="11">
        <v>5175</v>
      </c>
      <c r="M21" s="56">
        <v>4600</v>
      </c>
      <c r="O21" s="10" t="s">
        <v>36</v>
      </c>
      <c r="P21" s="13">
        <v>-141398</v>
      </c>
      <c r="Q21" s="13">
        <v>-145195</v>
      </c>
      <c r="R21" s="13">
        <v>-131956</v>
      </c>
      <c r="S21" s="13">
        <v>-112050</v>
      </c>
      <c r="T21" s="58">
        <v>-99283</v>
      </c>
    </row>
    <row r="22" spans="1:29">
      <c r="A22" s="10" t="s">
        <v>37</v>
      </c>
      <c r="B22" s="11">
        <v>1352190</v>
      </c>
      <c r="C22" s="11">
        <v>1189229</v>
      </c>
      <c r="D22" s="11">
        <v>975958</v>
      </c>
      <c r="E22" s="11">
        <v>790436</v>
      </c>
      <c r="F22" s="56">
        <v>707430</v>
      </c>
      <c r="H22" s="10" t="s">
        <v>8</v>
      </c>
      <c r="I22" s="11">
        <v>217496</v>
      </c>
      <c r="J22" s="11">
        <v>202682</v>
      </c>
      <c r="K22" s="11">
        <v>205804</v>
      </c>
      <c r="L22" s="11">
        <v>191423</v>
      </c>
      <c r="M22" s="56">
        <v>181161</v>
      </c>
      <c r="O22" s="10" t="s">
        <v>38</v>
      </c>
      <c r="P22" s="11">
        <v>22908</v>
      </c>
      <c r="Q22" s="11">
        <v>28780</v>
      </c>
      <c r="R22" s="11">
        <v>57266</v>
      </c>
      <c r="S22" s="11">
        <v>60161</v>
      </c>
      <c r="T22" s="56">
        <v>57670</v>
      </c>
    </row>
    <row r="23" spans="1:29">
      <c r="H23" s="10" t="s">
        <v>39</v>
      </c>
      <c r="I23" s="11">
        <v>156236</v>
      </c>
      <c r="J23" s="11">
        <v>118842</v>
      </c>
      <c r="K23" s="11">
        <v>194468</v>
      </c>
      <c r="L23" s="11">
        <v>164238</v>
      </c>
      <c r="M23" s="56">
        <v>100477</v>
      </c>
      <c r="O23" s="10" t="s">
        <v>40</v>
      </c>
      <c r="P23" s="11">
        <v>73226</v>
      </c>
      <c r="Q23" s="11">
        <v>22908</v>
      </c>
      <c r="R23" s="11">
        <v>28779</v>
      </c>
      <c r="S23" s="11">
        <v>57267</v>
      </c>
      <c r="T23" s="56">
        <v>60161</v>
      </c>
    </row>
    <row r="24" spans="1:29">
      <c r="H24" s="10" t="s">
        <v>41</v>
      </c>
      <c r="I24" s="11">
        <v>21750</v>
      </c>
      <c r="J24" s="11">
        <v>20268</v>
      </c>
      <c r="K24" s="11">
        <v>20580</v>
      </c>
      <c r="L24" s="11">
        <v>19142</v>
      </c>
      <c r="M24" s="56">
        <v>18116</v>
      </c>
      <c r="O24" s="2" t="s">
        <v>42</v>
      </c>
      <c r="P24" s="12">
        <f>SUM(P11:P17)</f>
        <v>293383</v>
      </c>
      <c r="Q24" s="12">
        <f>SUM(Q11:Q17)</f>
        <v>286604</v>
      </c>
      <c r="R24" s="12">
        <f>SUM(R11:R17)</f>
        <v>240027</v>
      </c>
      <c r="S24" s="12">
        <f>SUM(S11:S17)</f>
        <v>224856</v>
      </c>
      <c r="T24" s="12">
        <f>SUM(T11:T17)</f>
        <v>242222</v>
      </c>
    </row>
    <row r="25" spans="1:29">
      <c r="H25" s="10" t="s">
        <v>43</v>
      </c>
      <c r="I25" s="11">
        <v>140400</v>
      </c>
      <c r="J25" s="11">
        <v>145020</v>
      </c>
      <c r="K25" s="11">
        <v>128850</v>
      </c>
      <c r="L25" s="11">
        <v>112050</v>
      </c>
      <c r="M25" s="56">
        <v>99284</v>
      </c>
      <c r="O25" s="2" t="s">
        <v>44</v>
      </c>
      <c r="P25" s="12">
        <f>P18+P19</f>
        <v>-175742</v>
      </c>
      <c r="Q25" s="12">
        <f>Q18+Q19</f>
        <v>-270893</v>
      </c>
      <c r="R25" s="12">
        <f>R18+R19</f>
        <v>-230777</v>
      </c>
      <c r="S25" s="12">
        <f>S18+S19</f>
        <v>-122733</v>
      </c>
      <c r="T25" s="12">
        <f>T18+T19</f>
        <v>-157409</v>
      </c>
    </row>
    <row r="26" spans="1:29">
      <c r="H26" s="10" t="s">
        <v>45</v>
      </c>
      <c r="I26" s="18" t="s">
        <v>84</v>
      </c>
      <c r="J26" s="18" t="s">
        <v>84</v>
      </c>
      <c r="K26" s="11">
        <v>132000</v>
      </c>
      <c r="L26" s="11">
        <v>30000</v>
      </c>
      <c r="M26" s="57"/>
      <c r="O26" s="2" t="s">
        <v>46</v>
      </c>
      <c r="P26" s="12">
        <f>P20+P21</f>
        <v>-67323</v>
      </c>
      <c r="Q26" s="12">
        <f>Q20+Q21</f>
        <v>-21583</v>
      </c>
      <c r="R26" s="12">
        <f>R20+R21</f>
        <v>-37737</v>
      </c>
      <c r="S26" s="12">
        <f>S20+S21</f>
        <v>-105017</v>
      </c>
      <c r="T26" s="12">
        <f>T20+T21</f>
        <v>-82322</v>
      </c>
    </row>
    <row r="27" spans="1:29">
      <c r="H27" s="10" t="s">
        <v>47</v>
      </c>
      <c r="I27" s="11">
        <v>211582</v>
      </c>
      <c r="J27" s="11">
        <v>156236</v>
      </c>
      <c r="K27" s="11">
        <v>118842</v>
      </c>
      <c r="L27" s="11">
        <v>194469</v>
      </c>
      <c r="M27" s="56">
        <v>164238</v>
      </c>
      <c r="O27" s="2" t="s">
        <v>48</v>
      </c>
      <c r="P27" s="12">
        <f>P24+P25+P26</f>
        <v>50318</v>
      </c>
      <c r="Q27" s="12">
        <f>Q24+Q25+Q26</f>
        <v>-5872</v>
      </c>
      <c r="R27" s="12">
        <f>R24+R25+R26</f>
        <v>-28487</v>
      </c>
      <c r="S27" s="12">
        <f>S24+S25+S26</f>
        <v>-2894</v>
      </c>
      <c r="T27" s="12">
        <f>T24+T25+T26</f>
        <v>2491</v>
      </c>
    </row>
    <row r="28" spans="1:29">
      <c r="H28" s="6"/>
      <c r="O28" s="2"/>
      <c r="P28" s="12"/>
      <c r="Q28" s="12"/>
      <c r="R28" s="12"/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>
        <v>42369</v>
      </c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0.15691138079707734</v>
      </c>
      <c r="C30" s="24">
        <f t="shared" si="0"/>
        <v>0.12034015315805451</v>
      </c>
      <c r="D30" s="24">
        <f t="shared" si="0"/>
        <v>0.14297439029138548</v>
      </c>
      <c r="E30" s="24">
        <f t="shared" si="0"/>
        <v>0.17684037670349023</v>
      </c>
      <c r="F30" s="24">
        <f t="shared" si="0"/>
        <v>0.19622860212317828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0.18803423236962935</v>
      </c>
      <c r="Q30" s="26">
        <f t="shared" ref="Q30:Q42" si="3">Q11/J$11</f>
        <v>0.18819039837326659</v>
      </c>
      <c r="R30" s="26">
        <f t="shared" ref="R30:R42" si="4">R11/K$11</f>
        <v>0.22612395043389025</v>
      </c>
      <c r="S30" s="26">
        <f t="shared" ref="S30:S42" si="5">S11/L$11</f>
        <v>0.22554875167756766</v>
      </c>
      <c r="T30" s="26">
        <f t="shared" ref="T30:T42" si="6">T11/M$11</f>
        <v>0.2151517490781043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7.525717539694865E-2</v>
      </c>
      <c r="C31" s="24">
        <f t="shared" si="0"/>
        <v>9.1610614944640609E-2</v>
      </c>
      <c r="D31" s="24">
        <f t="shared" si="0"/>
        <v>9.3381067627910222E-2</v>
      </c>
      <c r="E31" s="24">
        <f t="shared" si="0"/>
        <v>9.8691102125915323E-2</v>
      </c>
      <c r="F31" s="24">
        <f t="shared" si="0"/>
        <v>0.1001427703094299</v>
      </c>
      <c r="G31" s="6"/>
      <c r="H31" s="25" t="s">
        <v>10</v>
      </c>
      <c r="I31" s="24">
        <f t="shared" si="1"/>
        <v>0.69948291796455897</v>
      </c>
      <c r="J31" s="24">
        <f t="shared" si="1"/>
        <v>0.7021406585856147</v>
      </c>
      <c r="K31" s="24">
        <f t="shared" si="1"/>
        <v>0.67982987195348399</v>
      </c>
      <c r="L31" s="24">
        <f t="shared" si="1"/>
        <v>0.6781579806268182</v>
      </c>
      <c r="M31" s="24">
        <f t="shared" si="1"/>
        <v>0.68366596794593926</v>
      </c>
      <c r="N31" s="6"/>
      <c r="O31" s="25" t="s">
        <v>11</v>
      </c>
      <c r="P31" s="26">
        <f t="shared" si="2"/>
        <v>6.9006806532126777E-2</v>
      </c>
      <c r="Q31" s="26">
        <f t="shared" si="3"/>
        <v>7.5462045208703768E-2</v>
      </c>
      <c r="R31" s="26">
        <f t="shared" si="4"/>
        <v>6.144562692690559E-2</v>
      </c>
      <c r="S31" s="26">
        <f t="shared" si="5"/>
        <v>6.0393614226009459E-2</v>
      </c>
      <c r="T31" s="26">
        <f t="shared" si="6"/>
        <v>5.4613041335368137E-2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 t="e">
        <f t="shared" si="0"/>
        <v>#VALUE!</v>
      </c>
      <c r="C32" s="24" t="e">
        <f t="shared" si="0"/>
        <v>#VALUE!</v>
      </c>
      <c r="D32" s="24">
        <f t="shared" si="0"/>
        <v>4.0985370272081378E-3</v>
      </c>
      <c r="E32" s="24">
        <f t="shared" si="0"/>
        <v>5.0604982566583509E-3</v>
      </c>
      <c r="F32" s="24">
        <f t="shared" si="0"/>
        <v>5.6542696803924064E-3</v>
      </c>
      <c r="G32" s="6"/>
      <c r="H32" s="25" t="s">
        <v>13</v>
      </c>
      <c r="I32" s="24">
        <f t="shared" si="1"/>
        <v>0.30051708203544097</v>
      </c>
      <c r="J32" s="24">
        <f t="shared" si="1"/>
        <v>0.29785934141438525</v>
      </c>
      <c r="K32" s="24">
        <f t="shared" si="1"/>
        <v>0.32017012804651601</v>
      </c>
      <c r="L32" s="24">
        <f t="shared" si="1"/>
        <v>0.3218420193731818</v>
      </c>
      <c r="M32" s="24">
        <f t="shared" si="1"/>
        <v>0.3163340320540608</v>
      </c>
      <c r="N32" s="6"/>
      <c r="O32" s="25" t="s">
        <v>14</v>
      </c>
      <c r="P32" s="26">
        <f t="shared" si="2"/>
        <v>-5.4543898371463917E-3</v>
      </c>
      <c r="Q32" s="26">
        <f t="shared" si="3"/>
        <v>-2.9665600438252377E-3</v>
      </c>
      <c r="R32" s="26">
        <f t="shared" si="4"/>
        <v>-3.4324465081119566E-3</v>
      </c>
      <c r="S32" s="26">
        <f t="shared" si="5"/>
        <v>5.7381945778185197E-4</v>
      </c>
      <c r="T32" s="26">
        <f t="shared" si="6"/>
        <v>3.6068241064589109E-3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0.76783144380597401</v>
      </c>
      <c r="C33" s="24">
        <f t="shared" si="0"/>
        <v>0.78804923189730491</v>
      </c>
      <c r="D33" s="24">
        <f t="shared" si="0"/>
        <v>0.75954600505349612</v>
      </c>
      <c r="E33" s="24">
        <f t="shared" si="0"/>
        <v>0.71940802291393613</v>
      </c>
      <c r="F33" s="24">
        <f t="shared" si="0"/>
        <v>0.69797435788699946</v>
      </c>
      <c r="G33" s="6"/>
      <c r="H33" s="25" t="s">
        <v>16</v>
      </c>
      <c r="I33" s="24">
        <f t="shared" si="1"/>
        <v>2.942897924496167E-3</v>
      </c>
      <c r="J33" s="24">
        <f t="shared" si="1"/>
        <v>5.9479761003895064E-3</v>
      </c>
      <c r="K33" s="24">
        <f t="shared" si="1"/>
        <v>1.9467377474624726E-2</v>
      </c>
      <c r="L33" s="24">
        <f t="shared" si="1"/>
        <v>1.2145648810709097E-2</v>
      </c>
      <c r="M33" s="24">
        <f t="shared" si="1"/>
        <v>7.1055741287269231E-3</v>
      </c>
      <c r="N33" s="6"/>
      <c r="O33" s="25" t="s">
        <v>9</v>
      </c>
      <c r="P33" s="26">
        <f t="shared" si="2"/>
        <v>6.2177796336593521E-3</v>
      </c>
      <c r="Q33" s="26">
        <f t="shared" si="3"/>
        <v>-1.6536599180133796E-2</v>
      </c>
      <c r="R33" s="26">
        <f t="shared" si="4"/>
        <v>-1.4423087487831516E-2</v>
      </c>
      <c r="S33" s="26">
        <f t="shared" si="5"/>
        <v>-8.4423335010410053E-3</v>
      </c>
      <c r="T33" s="26">
        <f t="shared" si="6"/>
        <v>-6.7492859390865956E-3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 t="e">
        <f t="shared" si="0"/>
        <v>#VALUE!</v>
      </c>
      <c r="C34" s="24" t="e">
        <f t="shared" si="0"/>
        <v>#VALUE!</v>
      </c>
      <c r="D34" s="24" t="e">
        <f t="shared" si="0"/>
        <v>#VALUE!</v>
      </c>
      <c r="E34" s="24" t="e">
        <f t="shared" si="0"/>
        <v>#VALUE!</v>
      </c>
      <c r="F34" s="24">
        <f t="shared" si="0"/>
        <v>0</v>
      </c>
      <c r="G34" s="6"/>
      <c r="H34" s="25" t="s">
        <v>18</v>
      </c>
      <c r="I34" s="24">
        <f t="shared" si="1"/>
        <v>0.30345997995993718</v>
      </c>
      <c r="J34" s="24">
        <f t="shared" si="1"/>
        <v>0.30380731751477474</v>
      </c>
      <c r="K34" s="24">
        <f t="shared" si="1"/>
        <v>0.33963750552114075</v>
      </c>
      <c r="L34" s="24">
        <f t="shared" si="1"/>
        <v>0.33398766818389086</v>
      </c>
      <c r="M34" s="24">
        <f t="shared" si="1"/>
        <v>0.32343960618278772</v>
      </c>
      <c r="N34" s="6"/>
      <c r="O34" s="25" t="s">
        <v>19</v>
      </c>
      <c r="P34" s="26">
        <f t="shared" si="2"/>
        <v>-1.0751433193018313E-2</v>
      </c>
      <c r="Q34" s="26">
        <f t="shared" si="3"/>
        <v>-5.8040584769801437E-3</v>
      </c>
      <c r="R34" s="26">
        <f t="shared" si="4"/>
        <v>-2.7599111343554493E-2</v>
      </c>
      <c r="S34" s="26">
        <f t="shared" si="5"/>
        <v>-5.1196007064931151E-3</v>
      </c>
      <c r="T34" s="26">
        <f t="shared" si="6"/>
        <v>-4.6840020664714998E-3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0.10543078786495522</v>
      </c>
      <c r="J35" s="24">
        <f t="shared" si="1"/>
        <v>0.1046559672424919</v>
      </c>
      <c r="K35" s="24">
        <f t="shared" si="1"/>
        <v>0.10743755342596398</v>
      </c>
      <c r="L35" s="24">
        <f t="shared" si="1"/>
        <v>0.10056804591498282</v>
      </c>
      <c r="M35" s="24">
        <f t="shared" si="1"/>
        <v>0.10179747391673545</v>
      </c>
      <c r="N35" s="6"/>
      <c r="O35" s="25" t="s">
        <v>22</v>
      </c>
      <c r="P35" s="26">
        <f t="shared" si="2"/>
        <v>-5.9385328564524591E-3</v>
      </c>
      <c r="Q35" s="26">
        <f t="shared" si="3"/>
        <v>1.9148471919814673E-2</v>
      </c>
      <c r="R35" s="26">
        <f t="shared" si="4"/>
        <v>1.0154504042244144E-2</v>
      </c>
      <c r="S35" s="26">
        <f t="shared" si="5"/>
        <v>-4.43148866677114E-3</v>
      </c>
      <c r="T35" s="26">
        <f t="shared" si="6"/>
        <v>8.3395188921812548E-3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0.17867385500558353</v>
      </c>
      <c r="C36" s="24">
        <f t="shared" si="0"/>
        <v>0.17168518426644488</v>
      </c>
      <c r="D36" s="24">
        <f t="shared" si="0"/>
        <v>0.1375376809247939</v>
      </c>
      <c r="E36" s="24">
        <f t="shared" si="0"/>
        <v>0.13626909705529605</v>
      </c>
      <c r="F36" s="24">
        <f t="shared" si="0"/>
        <v>0.15912387091302319</v>
      </c>
      <c r="G36" s="6"/>
      <c r="H36" s="25" t="s">
        <v>11</v>
      </c>
      <c r="I36" s="24" t="e">
        <f t="shared" si="1"/>
        <v>#VALUE!</v>
      </c>
      <c r="J36" s="24" t="e">
        <f t="shared" si="1"/>
        <v>#VALUE!</v>
      </c>
      <c r="K36" s="24" t="e">
        <f t="shared" si="1"/>
        <v>#VALUE!</v>
      </c>
      <c r="L36" s="24" t="e">
        <f t="shared" si="1"/>
        <v>#VALUE!</v>
      </c>
      <c r="M36" s="24">
        <f t="shared" si="1"/>
        <v>0</v>
      </c>
      <c r="N36" s="6"/>
      <c r="O36" s="25" t="s">
        <v>24</v>
      </c>
      <c r="P36" s="26">
        <f t="shared" si="2"/>
        <v>1.2527200624544495E-2</v>
      </c>
      <c r="Q36" s="26">
        <f t="shared" si="3"/>
        <v>8.6183443902303151E-3</v>
      </c>
      <c r="R36" s="26">
        <f t="shared" si="4"/>
        <v>1.1456504398234113E-2</v>
      </c>
      <c r="S36" s="26">
        <f t="shared" si="5"/>
        <v>-3.5807748094436307E-3</v>
      </c>
      <c r="T36" s="26">
        <f t="shared" si="6"/>
        <v>1.7391614163643165E-2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0.22041207226795051</v>
      </c>
      <c r="C37" s="24">
        <f t="shared" si="0"/>
        <v>0.20988556451280618</v>
      </c>
      <c r="D37" s="24">
        <f t="shared" si="0"/>
        <v>0.16797341688884151</v>
      </c>
      <c r="E37" s="24">
        <f t="shared" si="0"/>
        <v>0.10359599006118142</v>
      </c>
      <c r="F37" s="24">
        <f t="shared" si="0"/>
        <v>0.10374878079810017</v>
      </c>
      <c r="G37" s="6"/>
      <c r="H37" s="25" t="s">
        <v>26</v>
      </c>
      <c r="I37" s="24">
        <f t="shared" si="1"/>
        <v>6.3206600252618912E-3</v>
      </c>
      <c r="J37" s="24">
        <f t="shared" si="1"/>
        <v>7.2469487142585226E-3</v>
      </c>
      <c r="K37" s="24">
        <f t="shared" si="1"/>
        <v>2.5501627225761369E-3</v>
      </c>
      <c r="L37" s="24">
        <f t="shared" si="1"/>
        <v>1.773302431132828E-3</v>
      </c>
      <c r="M37" s="24">
        <f t="shared" si="1"/>
        <v>1.0272976134629431E-3</v>
      </c>
      <c r="N37" s="6"/>
      <c r="O37" s="25" t="s">
        <v>27</v>
      </c>
      <c r="P37" s="26">
        <f t="shared" si="2"/>
        <v>-0.15433528460260937</v>
      </c>
      <c r="Q37" s="26">
        <f t="shared" si="3"/>
        <v>-0.2682345950111652</v>
      </c>
      <c r="R37" s="26">
        <f t="shared" si="4"/>
        <v>-0.2599309115760467</v>
      </c>
      <c r="S37" s="26">
        <f t="shared" si="5"/>
        <v>-0.15447054845121769</v>
      </c>
      <c r="T37" s="26">
        <f t="shared" si="6"/>
        <v>-0.18819973515911237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 t="e">
        <f t="shared" si="0"/>
        <v>#VALUE!</v>
      </c>
      <c r="C38" s="24" t="e">
        <f t="shared" si="0"/>
        <v>#VALUE!</v>
      </c>
      <c r="D38" s="24" t="e">
        <f t="shared" si="0"/>
        <v>#VALUE!</v>
      </c>
      <c r="E38" s="24" t="e">
        <f t="shared" si="0"/>
        <v>#VALUE!</v>
      </c>
      <c r="F38" s="24">
        <f t="shared" si="0"/>
        <v>0</v>
      </c>
      <c r="G38" s="6"/>
      <c r="H38" s="25" t="s">
        <v>29</v>
      </c>
      <c r="I38" s="24">
        <f t="shared" si="1"/>
        <v>0.11175144789021711</v>
      </c>
      <c r="J38" s="24">
        <f t="shared" si="1"/>
        <v>0.11190291595675043</v>
      </c>
      <c r="K38" s="24">
        <f t="shared" si="1"/>
        <v>0.10998771614854011</v>
      </c>
      <c r="L38" s="24">
        <f t="shared" si="1"/>
        <v>0.10234134834611565</v>
      </c>
      <c r="M38" s="24">
        <f t="shared" si="1"/>
        <v>0.10282477153019839</v>
      </c>
      <c r="N38" s="6"/>
      <c r="O38" s="25" t="s">
        <v>30</v>
      </c>
      <c r="P38" s="26">
        <f t="shared" si="2"/>
        <v>2.399101568882745E-3</v>
      </c>
      <c r="Q38" s="26">
        <f t="shared" si="3"/>
        <v>1.671022882902122E-2</v>
      </c>
      <c r="R38" s="26">
        <f t="shared" si="4"/>
        <v>6.3682650323357553E-3</v>
      </c>
      <c r="S38" s="26">
        <f t="shared" si="5"/>
        <v>9.8574406238254083E-3</v>
      </c>
      <c r="T38" s="26">
        <f t="shared" si="6"/>
        <v>1.2565096821315536E-3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0.60091407272646591</v>
      </c>
      <c r="C39" s="24">
        <f t="shared" si="0"/>
        <v>0.61842925122074888</v>
      </c>
      <c r="D39" s="24">
        <f t="shared" si="0"/>
        <v>0.69448890218636461</v>
      </c>
      <c r="E39" s="24">
        <f t="shared" si="0"/>
        <v>0.76013491288352253</v>
      </c>
      <c r="F39" s="24">
        <f t="shared" si="0"/>
        <v>0.7371273482888766</v>
      </c>
      <c r="G39" s="6"/>
      <c r="H39" s="25" t="s">
        <v>32</v>
      </c>
      <c r="I39" s="24">
        <f t="shared" si="1"/>
        <v>0.19170853206972005</v>
      </c>
      <c r="J39" s="24">
        <f t="shared" si="1"/>
        <v>0.19190440155802432</v>
      </c>
      <c r="K39" s="24">
        <f t="shared" si="1"/>
        <v>0.22964978937260064</v>
      </c>
      <c r="L39" s="24">
        <f t="shared" si="1"/>
        <v>0.23164631983777523</v>
      </c>
      <c r="M39" s="24">
        <f t="shared" si="1"/>
        <v>0.22061483465258933</v>
      </c>
      <c r="N39" s="6"/>
      <c r="O39" s="25" t="s">
        <v>33</v>
      </c>
      <c r="P39" s="26">
        <f t="shared" si="2"/>
        <v>6.4040882419815967E-2</v>
      </c>
      <c r="Q39" s="26">
        <f t="shared" si="3"/>
        <v>0.11477384041856815</v>
      </c>
      <c r="R39" s="26">
        <f t="shared" si="4"/>
        <v>0.10352166374769541</v>
      </c>
      <c r="S39" s="26">
        <f t="shared" si="5"/>
        <v>8.2868013276791892E-3</v>
      </c>
      <c r="T39" s="26">
        <f t="shared" si="6"/>
        <v>2.014334661496529E-2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 t="e">
        <f t="shared" si="0"/>
        <v>#VALUE!</v>
      </c>
      <c r="C40" s="24" t="e">
        <f t="shared" si="0"/>
        <v>#VALUE!</v>
      </c>
      <c r="D40" s="24" t="e">
        <f t="shared" si="0"/>
        <v>#VALUE!</v>
      </c>
      <c r="E40" s="24" t="e">
        <f t="shared" si="0"/>
        <v>#VALUE!</v>
      </c>
      <c r="F40" s="24">
        <f t="shared" si="0"/>
        <v>0</v>
      </c>
      <c r="G40" s="6"/>
      <c r="H40" s="25" t="s">
        <v>35</v>
      </c>
      <c r="I40" s="24">
        <f t="shared" ref="I40:M49" si="7">I21/I$11</f>
        <v>3.6742997000906905E-3</v>
      </c>
      <c r="J40" s="24">
        <f t="shared" si="7"/>
        <v>3.7140031847577308E-3</v>
      </c>
      <c r="K40" s="24">
        <f t="shared" si="7"/>
        <v>3.5258389387103932E-3</v>
      </c>
      <c r="L40" s="24">
        <f t="shared" si="7"/>
        <v>6.0975681602075645E-3</v>
      </c>
      <c r="M40" s="24">
        <f t="shared" si="7"/>
        <v>5.4630855744850155E-3</v>
      </c>
      <c r="N40" s="6"/>
      <c r="O40" s="25" t="s">
        <v>36</v>
      </c>
      <c r="P40" s="26">
        <f t="shared" si="2"/>
        <v>-0.12224438329257022</v>
      </c>
      <c r="Q40" s="26">
        <f t="shared" si="3"/>
        <v>-0.13481367310272468</v>
      </c>
      <c r="R40" s="26">
        <f t="shared" si="4"/>
        <v>-0.14498460672996843</v>
      </c>
      <c r="S40" s="26">
        <f t="shared" si="5"/>
        <v>-0.13202560625145074</v>
      </c>
      <c r="T40" s="26">
        <f t="shared" si="6"/>
        <v>-0.11791120110686865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0.18803423236962935</v>
      </c>
      <c r="J41" s="24">
        <f t="shared" si="7"/>
        <v>0.18819039837326659</v>
      </c>
      <c r="K41" s="24">
        <f t="shared" si="7"/>
        <v>0.22612395043389025</v>
      </c>
      <c r="L41" s="24">
        <f t="shared" si="7"/>
        <v>0.22554875167756766</v>
      </c>
      <c r="M41" s="24">
        <f t="shared" si="7"/>
        <v>0.2151517490781043</v>
      </c>
      <c r="N41" s="6"/>
      <c r="O41" s="25" t="s">
        <v>38</v>
      </c>
      <c r="P41" s="26">
        <f t="shared" si="2"/>
        <v>1.9804907654041772E-2</v>
      </c>
      <c r="Q41" s="26">
        <f t="shared" si="3"/>
        <v>2.6722252914331873E-2</v>
      </c>
      <c r="R41" s="26">
        <f t="shared" si="4"/>
        <v>6.2920128595883265E-2</v>
      </c>
      <c r="S41" s="26">
        <f t="shared" si="5"/>
        <v>7.0886144557728945E-2</v>
      </c>
      <c r="T41" s="26">
        <f t="shared" si="6"/>
        <v>6.8490466321858873E-2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0.13507244422196921</v>
      </c>
      <c r="J42" s="24">
        <f t="shared" si="7"/>
        <v>0.11034489162074457</v>
      </c>
      <c r="K42" s="24">
        <f t="shared" si="7"/>
        <v>0.21366869639549169</v>
      </c>
      <c r="L42" s="24">
        <f t="shared" si="7"/>
        <v>0.19351737188331788</v>
      </c>
      <c r="M42" s="24">
        <f t="shared" si="7"/>
        <v>0.11932922810163714</v>
      </c>
      <c r="N42" s="6"/>
      <c r="O42" s="25" t="s">
        <v>40</v>
      </c>
      <c r="P42" s="26">
        <f t="shared" si="2"/>
        <v>6.3306887020903743E-2</v>
      </c>
      <c r="Q42" s="26">
        <f t="shared" si="3"/>
        <v>2.1270096239107524E-2</v>
      </c>
      <c r="R42" s="26">
        <f t="shared" si="4"/>
        <v>3.1620479531675419E-2</v>
      </c>
      <c r="S42" s="26">
        <f t="shared" si="5"/>
        <v>6.747621948417519E-2</v>
      </c>
      <c r="T42" s="26">
        <f t="shared" si="6"/>
        <v>7.1448845923172397E-2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1.8803769053405299E-2</v>
      </c>
      <c r="J43" s="24">
        <f t="shared" si="7"/>
        <v>1.8818854137167423E-2</v>
      </c>
      <c r="K43" s="24">
        <f t="shared" si="7"/>
        <v>2.2611955549597974E-2</v>
      </c>
      <c r="L43" s="24">
        <f t="shared" si="7"/>
        <v>2.255452168554458E-2</v>
      </c>
      <c r="M43" s="24">
        <f t="shared" si="7"/>
        <v>2.1515056145080549E-2</v>
      </c>
      <c r="N43" s="6"/>
      <c r="O43" s="2" t="s">
        <v>49</v>
      </c>
      <c r="P43" s="26">
        <f>P24/I11</f>
        <v>0.25364166327334281</v>
      </c>
      <c r="Q43" s="26">
        <f>Q24/J11</f>
        <v>0.2661120421910762</v>
      </c>
      <c r="R43" s="26">
        <f>R24/K11</f>
        <v>0.26372594046177611</v>
      </c>
      <c r="S43" s="26">
        <f>S24/L11</f>
        <v>0.26494198767761007</v>
      </c>
      <c r="T43" s="26">
        <f>T24/M11</f>
        <v>0.28766945957019768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0.12138157126887833</v>
      </c>
      <c r="J44" s="24">
        <f t="shared" si="7"/>
        <v>0.13465118546339153</v>
      </c>
      <c r="K44" s="24">
        <f t="shared" si="7"/>
        <v>0.14157193744245378</v>
      </c>
      <c r="L44" s="24">
        <f t="shared" si="7"/>
        <v>0.13202560625145074</v>
      </c>
      <c r="M44" s="24">
        <f t="shared" si="7"/>
        <v>0.11791238873416744</v>
      </c>
      <c r="N44" s="6"/>
      <c r="O44" s="2" t="s">
        <v>50</v>
      </c>
      <c r="P44" s="26">
        <f>P24/B16</f>
        <v>0.21696876918184574</v>
      </c>
      <c r="Q44" s="26">
        <f>Q24/C16</f>
        <v>0.24099984107350225</v>
      </c>
      <c r="R44" s="26">
        <f>R24/D16</f>
        <v>0.24593988675742193</v>
      </c>
      <c r="S44" s="26">
        <f>S24/E16</f>
        <v>0.28447084899979252</v>
      </c>
      <c r="T44" s="26">
        <f>T24/F16</f>
        <v>0.34239712763100238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 t="e">
        <f t="shared" si="7"/>
        <v>#VALUE!</v>
      </c>
      <c r="J45" s="24" t="e">
        <f t="shared" si="7"/>
        <v>#VALUE!</v>
      </c>
      <c r="K45" s="24">
        <f t="shared" si="7"/>
        <v>0.14503295104698408</v>
      </c>
      <c r="L45" s="24">
        <f t="shared" si="7"/>
        <v>3.5348221218594579E-2</v>
      </c>
      <c r="M45" s="24">
        <f t="shared" si="7"/>
        <v>0</v>
      </c>
      <c r="N45" s="6"/>
      <c r="O45" s="2" t="s">
        <v>51</v>
      </c>
      <c r="P45" s="26">
        <f>P24/B20</f>
        <v>0.36106454987385389</v>
      </c>
      <c r="Q45" s="26">
        <f>Q24/C20</f>
        <v>0.38969670434860643</v>
      </c>
      <c r="R45" s="26">
        <f>R24/D20</f>
        <v>0.35413076578065245</v>
      </c>
      <c r="S45" s="26">
        <f>S24/E20</f>
        <v>0.3742373152164144</v>
      </c>
      <c r="T45" s="26">
        <f>T24/F20</f>
        <v>0.4645020001304016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0.18292133626931492</v>
      </c>
      <c r="J46" s="24">
        <f t="shared" si="7"/>
        <v>0.14506525039345222</v>
      </c>
      <c r="K46" s="24">
        <f t="shared" si="7"/>
        <v>0.13057580279034608</v>
      </c>
      <c r="L46" s="24">
        <f t="shared" si="7"/>
        <v>0.22913777440529565</v>
      </c>
      <c r="M46" s="24">
        <f t="shared" si="7"/>
        <v>0.19505353230049347</v>
      </c>
      <c r="N46" s="6"/>
      <c r="O46" s="2" t="s">
        <v>52</v>
      </c>
      <c r="P46" s="26">
        <f>P24/I22</f>
        <v>1.3489121639018649</v>
      </c>
      <c r="Q46" s="26">
        <f>Q24/J22</f>
        <v>1.4140574890715505</v>
      </c>
      <c r="R46" s="26">
        <f>R24/K22</f>
        <v>1.1662892849507298</v>
      </c>
      <c r="S46" s="26">
        <f>S24/L22</f>
        <v>1.17465508324496</v>
      </c>
      <c r="T46" s="26">
        <f>T24/M22</f>
        <v>1.3370537808910306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0.54366429471499522</v>
      </c>
      <c r="Q47" s="26">
        <f>Q24/(C22-C20)</f>
        <v>0.63159936091675395</v>
      </c>
      <c r="R47" s="26">
        <f>R24/(D22-D20)</f>
        <v>0.80501130242884833</v>
      </c>
      <c r="S47" s="26">
        <f>S24/(E22-E20)</f>
        <v>1.185961877234992</v>
      </c>
      <c r="T47" s="26">
        <f>T24/(F22-F20)</f>
        <v>1.3025209180271451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>
        <f>P24/I25</f>
        <v>2.089622507122507</v>
      </c>
      <c r="Q48" s="26">
        <f>Q24/J25</f>
        <v>1.976306716314991</v>
      </c>
      <c r="R48" s="26">
        <f>R24/K25</f>
        <v>1.8628405122235157</v>
      </c>
      <c r="S48" s="26">
        <f>S24/L25</f>
        <v>2.0067469879518072</v>
      </c>
      <c r="T48" s="26">
        <f>T24/M25</f>
        <v>2.4396881672777084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1.6434457222561436</v>
      </c>
      <c r="Q49" s="26">
        <f>Q24/(Q18*-1)</f>
        <v>0.99208695351171727</v>
      </c>
      <c r="R49" s="26">
        <f>R24/(R18*-1)</f>
        <v>1.0146001445642572</v>
      </c>
      <c r="S49" s="26">
        <f>S24/(S18*-1)</f>
        <v>1.715161824270208</v>
      </c>
      <c r="T49" s="26">
        <f>T24/(T18*-1)</f>
        <v>1.5285327544536087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8.0255616877197095E-2</v>
      </c>
      <c r="J50" s="28">
        <f>LN(J13/K13)</f>
        <v>9.6111945040467689E-2</v>
      </c>
      <c r="K50" s="28">
        <f>LN(K13/L13)</f>
        <v>6.4683350241198284E-2</v>
      </c>
      <c r="L50" s="28">
        <f>LN(L13/M13)</f>
        <v>2.5168843225725157E-2</v>
      </c>
      <c r="O50" s="2"/>
      <c r="P50" s="12"/>
      <c r="Q50" s="12"/>
      <c r="R50" s="12"/>
    </row>
    <row r="51" spans="1:29">
      <c r="A51" s="29" t="s">
        <v>57</v>
      </c>
      <c r="B51" s="30">
        <f>B11/B17</f>
        <v>0.87820000745030025</v>
      </c>
      <c r="C51" s="30">
        <f>C11/C17</f>
        <v>0.70093499140434823</v>
      </c>
      <c r="D51" s="30">
        <f>D11/D17</f>
        <v>1.0395288718701343</v>
      </c>
      <c r="E51" s="30">
        <f>E11/E17</f>
        <v>1.2977291295306002</v>
      </c>
      <c r="F51" s="30">
        <f>F11/F17</f>
        <v>1.233181426502856</v>
      </c>
      <c r="H51" s="29" t="s">
        <v>58</v>
      </c>
      <c r="I51" s="63">
        <f>I13/I11</f>
        <v>0.30051708203544097</v>
      </c>
      <c r="J51" s="63">
        <f>J13/J11</f>
        <v>0.29785934141438525</v>
      </c>
      <c r="K51" s="63">
        <f>K13/K11</f>
        <v>0.32017012804651601</v>
      </c>
      <c r="L51" s="63">
        <f>L13/L11</f>
        <v>0.3218420193731818</v>
      </c>
      <c r="M51" s="63">
        <f>M13/M11</f>
        <v>0.3163340320540608</v>
      </c>
      <c r="O51" s="2" t="s">
        <v>59</v>
      </c>
      <c r="P51" s="32">
        <f>(P11-P24-P25)/B16</f>
        <v>7.3846870632085726E-2</v>
      </c>
      <c r="Q51" s="32">
        <f>(Q11-Q24-Q25)/C16</f>
        <v>0.15722035032781742</v>
      </c>
      <c r="R51" s="32">
        <f>(R11-R24-R25)/D16</f>
        <v>0.20139596171146709</v>
      </c>
      <c r="S51" s="32">
        <f>(S11-S24-S25)/E16</f>
        <v>0.11297562357989768</v>
      </c>
      <c r="T51" s="32">
        <f>(T11-T24-T25)/F16</f>
        <v>0.13619439379161188</v>
      </c>
    </row>
    <row r="52" spans="1:29">
      <c r="A52" s="29" t="s">
        <v>60</v>
      </c>
      <c r="B52" s="31">
        <f>I20/B16</f>
        <v>0.16399026763990268</v>
      </c>
      <c r="C52" s="31">
        <f>J20/C16</f>
        <v>0.17379495454618077</v>
      </c>
      <c r="D52" s="31">
        <f>K20/D16</f>
        <v>0.21416187991696364</v>
      </c>
      <c r="E52" s="31">
        <f>L20/E16</f>
        <v>0.2487209590656296</v>
      </c>
      <c r="F52" s="31">
        <f>M20/F16</f>
        <v>0.26258569752484345</v>
      </c>
      <c r="G52" s="31"/>
      <c r="H52" s="29" t="s">
        <v>61</v>
      </c>
      <c r="I52" s="63">
        <f>I16/I11</f>
        <v>0.10543078786495522</v>
      </c>
      <c r="J52" s="63">
        <f>J16/J11</f>
        <v>0.1046559672424919</v>
      </c>
      <c r="K52" s="63">
        <f>K16/K11</f>
        <v>0.10743755342596398</v>
      </c>
      <c r="L52" s="63">
        <f>L16/L11</f>
        <v>0.10056804591498282</v>
      </c>
      <c r="M52" s="63">
        <f>M16/M11</f>
        <v>0.10179747391673545</v>
      </c>
      <c r="O52" s="6"/>
    </row>
    <row r="53" spans="1:29">
      <c r="A53" s="29" t="s">
        <v>62</v>
      </c>
      <c r="B53" s="31">
        <f>I20/B20</f>
        <v>0.27290135991631287</v>
      </c>
      <c r="C53" s="31">
        <f>J20/C20</f>
        <v>0.28102641361662323</v>
      </c>
      <c r="D53" s="31">
        <f>K20/D20</f>
        <v>0.30837336528020398</v>
      </c>
      <c r="E53" s="31">
        <f>L20/E20</f>
        <v>0.3272063351519045</v>
      </c>
      <c r="F53" s="31">
        <f>M20/F20</f>
        <v>0.35622840223523683</v>
      </c>
      <c r="H53" s="29" t="s">
        <v>11</v>
      </c>
      <c r="I53" s="63" t="e">
        <f>I17/I11</f>
        <v>#VALUE!</v>
      </c>
      <c r="J53" s="63" t="e">
        <f>J17/J11</f>
        <v>#VALUE!</v>
      </c>
      <c r="K53" s="63" t="e">
        <f>K17/K11</f>
        <v>#VALUE!</v>
      </c>
      <c r="L53" s="63" t="e">
        <f>L17/L11</f>
        <v>#VALUE!</v>
      </c>
      <c r="M53" s="63">
        <f>M17/M11</f>
        <v>0</v>
      </c>
      <c r="O53" s="6"/>
    </row>
    <row r="54" spans="1:29">
      <c r="A54" s="29" t="s">
        <v>63</v>
      </c>
      <c r="B54" s="30">
        <f>I11/B12</f>
        <v>11.366551364949588</v>
      </c>
      <c r="C54" s="30">
        <f>J11/C12</f>
        <v>9.8856773080241584</v>
      </c>
      <c r="D54" s="30">
        <f>K11/D12</f>
        <v>9.9865914676966288</v>
      </c>
      <c r="E54" s="30">
        <f>L11/E12</f>
        <v>10.879501083208348</v>
      </c>
      <c r="F54" s="30">
        <f>M11/F12</f>
        <v>11.885480774659817</v>
      </c>
      <c r="H54" s="29" t="s">
        <v>64</v>
      </c>
      <c r="I54" s="63">
        <f>I25/I22</f>
        <v>0.64552911317909289</v>
      </c>
      <c r="J54" s="63">
        <f>J25/J22</f>
        <v>0.71550507691852261</v>
      </c>
      <c r="K54" s="63">
        <f>K25/K22</f>
        <v>0.62608112573127828</v>
      </c>
      <c r="L54" s="63">
        <f>L25/L22</f>
        <v>0.58535285728465236</v>
      </c>
      <c r="M54" s="63">
        <f>M25/M22</f>
        <v>0.5480429010659027</v>
      </c>
      <c r="O54" s="6"/>
    </row>
    <row r="55" spans="1:29">
      <c r="A55" s="29" t="s">
        <v>65</v>
      </c>
      <c r="B55" s="31">
        <f>(B22-B20)/B16</f>
        <v>0.39908592727353404</v>
      </c>
      <c r="C55" s="31">
        <f>(C22-C20)/C16</f>
        <v>0.38157074877925107</v>
      </c>
      <c r="D55" s="31">
        <f>(D22-D20)/D16</f>
        <v>0.30551109781363545</v>
      </c>
      <c r="E55" s="31">
        <f>(E22-E20)/E16</f>
        <v>0.2398650871164775</v>
      </c>
      <c r="F55" s="31">
        <f>(F22-F20)/F16</f>
        <v>0.26287265171112334</v>
      </c>
      <c r="H55" s="29" t="s">
        <v>66</v>
      </c>
      <c r="I55" s="63">
        <f>I22/I11</f>
        <v>0.18803423236962935</v>
      </c>
      <c r="J55" s="63">
        <f>J22/J11</f>
        <v>0.18819039837326659</v>
      </c>
      <c r="K55" s="63">
        <f>K22/K11</f>
        <v>0.22612395043389025</v>
      </c>
      <c r="L55" s="63">
        <f>L22/L11</f>
        <v>0.22554875167756766</v>
      </c>
      <c r="M55" s="63">
        <f>M22/M11</f>
        <v>0.2151517490781043</v>
      </c>
      <c r="N55" s="31"/>
      <c r="O55" s="6"/>
    </row>
    <row r="56" spans="1:29">
      <c r="A56" s="29" t="s">
        <v>67</v>
      </c>
      <c r="B56" s="31">
        <f>(B22-B20)/B20</f>
        <v>0.6641314380653498</v>
      </c>
      <c r="C56" s="31">
        <f>(C22-C20)/C20</f>
        <v>0.61699983955488713</v>
      </c>
      <c r="D56" s="31">
        <f>(D22-D20)/D20</f>
        <v>0.43990781832774656</v>
      </c>
      <c r="E56" s="31">
        <f>(E22-E20)/E20</f>
        <v>0.31555594020351574</v>
      </c>
      <c r="F56" s="31">
        <f>(F22-F20)/F20</f>
        <v>0.35661768936038019</v>
      </c>
      <c r="H56" s="33" t="s">
        <v>68</v>
      </c>
      <c r="I56" s="34">
        <f>I13/B16</f>
        <v>0.25706668441565167</v>
      </c>
      <c r="J56" s="34">
        <f>J13/C16</f>
        <v>0.26975124219136937</v>
      </c>
      <c r="K56" s="34">
        <f>K13/D16</f>
        <v>0.29857739779785608</v>
      </c>
      <c r="L56" s="34">
        <f>L13/E16</f>
        <v>0.34556497932786462</v>
      </c>
      <c r="M56" s="34">
        <f>M13/F16</f>
        <v>0.37651499088249013</v>
      </c>
      <c r="O56" s="6"/>
    </row>
    <row r="57" spans="1:29">
      <c r="A57" s="29" t="s">
        <v>69</v>
      </c>
      <c r="B57" s="30">
        <f>I11/B16</f>
        <v>0.85541454973043729</v>
      </c>
      <c r="C57" s="30">
        <f>J11/C16</f>
        <v>0.90563297733237247</v>
      </c>
      <c r="D57" s="30">
        <f>K11/D16</f>
        <v>0.93255857321729008</v>
      </c>
      <c r="E57" s="30">
        <f>L11/E16</f>
        <v>1.0737099524819214</v>
      </c>
      <c r="F57" s="30">
        <f>M11/F16</f>
        <v>1.1902449712339029</v>
      </c>
      <c r="H57" s="33" t="s">
        <v>70</v>
      </c>
      <c r="I57" s="35">
        <f ca="1">I25/$C$5</f>
        <v>4.3660527618133778E-2</v>
      </c>
      <c r="J57" s="35">
        <f ca="1">J25/$C$5</f>
        <v>4.5097220193602287E-2</v>
      </c>
      <c r="K57" s="35">
        <f ca="1">K25/$C$5</f>
        <v>4.0068796179462518E-2</v>
      </c>
      <c r="L57" s="35">
        <f ca="1">L25/$C$5</f>
        <v>3.4844459541395228E-2</v>
      </c>
      <c r="M57" s="35">
        <f ca="1">M25/$C$5</f>
        <v>3.0874585641301952E-2</v>
      </c>
      <c r="O57" s="6"/>
    </row>
    <row r="58" spans="1:29">
      <c r="A58" s="29" t="s">
        <v>71</v>
      </c>
      <c r="B58" s="30">
        <f>B16/B20</f>
        <v>1.6641314380653498</v>
      </c>
      <c r="C58" s="30">
        <f>C16/C20</f>
        <v>1.6169998395548872</v>
      </c>
      <c r="D58" s="30">
        <f>D16/D20</f>
        <v>1.4399078183277465</v>
      </c>
      <c r="E58" s="30">
        <f>E16/E20</f>
        <v>1.3155559402035157</v>
      </c>
      <c r="F58" s="30">
        <f>F16/F20</f>
        <v>1.3566176893603801</v>
      </c>
      <c r="H58" s="36" t="s">
        <v>72</v>
      </c>
      <c r="I58" s="37">
        <f ca="1">I22/$C$7/1000</f>
        <v>3.3749994374897487</v>
      </c>
      <c r="J58" s="37">
        <f ca="1">J22/$C$7/1000</f>
        <v>3.1451228343937232</v>
      </c>
      <c r="K58" s="37">
        <f ca="1">K22/$C$7/1000</f>
        <v>3.1935685448612396</v>
      </c>
      <c r="L58" s="37">
        <f ca="1">L22/$C$7/1000</f>
        <v>2.9704110297320416</v>
      </c>
      <c r="M58" s="37">
        <f ca="1">M22/$C$7/1000</f>
        <v>2.8111701966706533</v>
      </c>
      <c r="O58" s="6"/>
    </row>
    <row r="59" spans="1:29">
      <c r="H59" s="36" t="s">
        <v>73</v>
      </c>
      <c r="I59" s="37">
        <f ca="1">B20/$C$7/1000</f>
        <v>12.608764266617756</v>
      </c>
      <c r="J59" s="37">
        <f ca="1">C20/$C$7/1000</f>
        <v>11.412425222990702</v>
      </c>
      <c r="K59" s="37">
        <f ca="1">D20/$C$7/1000</f>
        <v>10.517653744138062</v>
      </c>
      <c r="L59" s="37">
        <f ca="1">E20/$C$7/1000</f>
        <v>9.323518188943547</v>
      </c>
      <c r="M59" s="37">
        <f ca="1">F20/$C$7/1000</f>
        <v>8.0918612602991757</v>
      </c>
      <c r="N59" s="65"/>
      <c r="O59" s="6"/>
    </row>
    <row r="60" spans="1:29">
      <c r="H60" s="33" t="s">
        <v>74</v>
      </c>
      <c r="I60" s="38">
        <f ca="1">SQRT(22.5*I58*I59)</f>
        <v>30.943139415930389</v>
      </c>
      <c r="J60" s="38">
        <f ca="1">SQRT(22.5*J58*J59)</f>
        <v>28.418361691068259</v>
      </c>
      <c r="K60" s="38">
        <f ca="1">SQRT(22.5*K58*K59)</f>
        <v>27.490890921684962</v>
      </c>
      <c r="L60" s="38">
        <f ca="1">SQRT(22.5*L58*L59)</f>
        <v>24.96257856167442</v>
      </c>
      <c r="M60" s="38">
        <f ca="1">SQRT(22.5*M58*M59)</f>
        <v>22.623460881070002</v>
      </c>
      <c r="O60" s="6"/>
    </row>
    <row r="61" spans="1:29">
      <c r="H61" s="33" t="s">
        <v>75</v>
      </c>
      <c r="I61" s="39">
        <f ca="1">I58-(B20*0.08/1000/$C$7)</f>
        <v>2.3662982961603283</v>
      </c>
      <c r="J61" s="39">
        <f ca="1">J58-(C20*0.08/1000/$C$7)</f>
        <v>2.232128816554467</v>
      </c>
      <c r="K61" s="39">
        <f ca="1">K58-(D20*0.08/1000/$C$7)</f>
        <v>2.3521562453301947</v>
      </c>
      <c r="L61" s="39">
        <f ca="1">L58-(E20*0.08/1000/$C$7)</f>
        <v>2.2245295746165579</v>
      </c>
      <c r="M61" s="39">
        <f ca="1">M58-(F20*0.08/1000/$C$7)</f>
        <v>2.1638212958467191</v>
      </c>
      <c r="O61" s="6"/>
    </row>
    <row r="62" spans="1:29">
      <c r="H62" s="40" t="s">
        <v>76</v>
      </c>
      <c r="I62" s="41">
        <f ca="1">I25/$C$7/1000</f>
        <v>2.1786603938626952</v>
      </c>
      <c r="J62" s="41">
        <f ca="1">J25/$C$7/1000</f>
        <v>2.2503513555410826</v>
      </c>
      <c r="K62" s="41">
        <f ca="1">K25/$C$7/1000</f>
        <v>1.9994329896667256</v>
      </c>
      <c r="L62" s="41">
        <f ca="1">L25/$C$7/1000</f>
        <v>1.738738583563497</v>
      </c>
      <c r="M62" s="41">
        <f ca="1">M25/$C$7/1000</f>
        <v>1.540641869973389</v>
      </c>
      <c r="O62" s="6"/>
    </row>
    <row r="63" spans="1:29">
      <c r="A63" s="2"/>
      <c r="H63" s="6"/>
      <c r="O63" s="6"/>
    </row>
    <row r="64" spans="1:29">
      <c r="H64" s="2" t="s">
        <v>85</v>
      </c>
      <c r="I64" s="47"/>
      <c r="J64" s="47">
        <f ca="1">SUM(J62:L62)</f>
        <v>5.9885229287713049</v>
      </c>
      <c r="O64" s="6"/>
    </row>
    <row r="65" spans="8:15">
      <c r="H65" s="6"/>
      <c r="O65" s="6"/>
    </row>
    <row r="66" spans="8:15">
      <c r="H66" s="6"/>
      <c r="O66" s="6"/>
    </row>
    <row r="67" spans="8:15">
      <c r="H67" s="6"/>
      <c r="O67" s="6"/>
    </row>
    <row r="68" spans="8:15">
      <c r="H68" s="6"/>
      <c r="O68" s="6"/>
    </row>
    <row r="69" spans="8:15">
      <c r="H69" s="6"/>
      <c r="O69" s="6"/>
    </row>
    <row r="70" spans="8:15">
      <c r="H70" s="6"/>
      <c r="O70" s="6"/>
    </row>
    <row r="71" spans="8:15">
      <c r="H71" s="6"/>
      <c r="O71" s="6"/>
    </row>
    <row r="72" spans="8:15">
      <c r="H72" s="6"/>
      <c r="O72" s="6"/>
    </row>
    <row r="73" spans="8:15">
      <c r="H73" s="6"/>
      <c r="O73" s="6"/>
    </row>
    <row r="74" spans="8:15">
      <c r="H74" s="2" t="s">
        <v>86</v>
      </c>
      <c r="I74" s="6"/>
      <c r="J74" s="6">
        <f ca="1">J59*$C$7/$C$5</f>
        <v>2.287059093936393E-4</v>
      </c>
      <c r="K74" s="6">
        <f ca="1">K59*$C$7/$C$5</f>
        <v>2.107746177731491E-4</v>
      </c>
      <c r="L74" s="6">
        <f ca="1">L59*$C$7/$C$5</f>
        <v>1.8684404624661155E-4</v>
      </c>
      <c r="M74" s="6">
        <f ca="1">M59*$C$7/$C$5</f>
        <v>1.6216154341109509E-4</v>
      </c>
      <c r="O74" s="6"/>
    </row>
    <row r="75" spans="8:15">
      <c r="H75" s="2" t="s">
        <v>87</v>
      </c>
      <c r="O75" s="6"/>
    </row>
    <row r="76" spans="8:15">
      <c r="H76" s="2" t="s">
        <v>88</v>
      </c>
      <c r="O76" s="6"/>
    </row>
    <row r="77" spans="8:15">
      <c r="H77" s="2" t="s">
        <v>89</v>
      </c>
      <c r="I77" s="28"/>
      <c r="J77" s="28">
        <f ca="1">(J15-J16)/$C$6</f>
        <v>6.6690605495199864E-5</v>
      </c>
      <c r="K77" s="28">
        <f ca="1">(K15-K16)/$C$6</f>
        <v>6.5710240815166276E-5</v>
      </c>
      <c r="L77" s="28">
        <f ca="1">(L15-L16)/$C$6</f>
        <v>6.1596315955818201E-5</v>
      </c>
      <c r="M77" s="28">
        <f ca="1">(M15-M16)/$C$6</f>
        <v>5.8027763646035287E-5</v>
      </c>
      <c r="O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zoomScaleNormal="100" workbookViewId="0"/>
  </sheetViews>
  <sheetFormatPr defaultRowHeight="15"/>
  <cols>
    <col min="1" max="7" width="15.140625"/>
    <col min="8" max="8" width="22.5703125"/>
    <col min="9" max="14" width="15.140625"/>
    <col min="15" max="15" width="23.140625"/>
    <col min="16" max="29" width="15.140625"/>
    <col min="30" max="1025" width="14.42578125"/>
  </cols>
  <sheetData>
    <row r="1" spans="1:20">
      <c r="A1" s="2"/>
      <c r="B1" s="78">
        <v>6070</v>
      </c>
      <c r="C1" s="78">
        <v>6070</v>
      </c>
      <c r="H1" s="6"/>
      <c r="O1" s="6"/>
    </row>
    <row r="2" spans="1:20">
      <c r="A2" s="2"/>
      <c r="B2" s="78" t="str">
        <f ca="1">IFERROR(__xludf.dummyfunction("GoogleFinance(""TADAWUL:""&amp;B1,""eps"")"),"1.31")</f>
        <v>1.31</v>
      </c>
      <c r="C2" s="78" t="str">
        <f ca="1">IFERROR(__xludf.dummyfunction("GoogleFinance(""TADAWUL:""&amp;B1,""eps"")"),"1.31")</f>
        <v>1.31</v>
      </c>
      <c r="H2" s="6"/>
      <c r="O2" s="6"/>
    </row>
    <row r="3" spans="1:20">
      <c r="A3" s="2"/>
      <c r="B3" s="2"/>
      <c r="C3" s="2"/>
      <c r="H3" s="6"/>
      <c r="O3" s="6"/>
    </row>
    <row r="4" spans="1:20">
      <c r="A4" s="2"/>
      <c r="B4" s="79"/>
      <c r="C4" s="79"/>
      <c r="H4" s="6"/>
      <c r="O4" s="6"/>
    </row>
    <row r="5" spans="1:20">
      <c r="A5" s="2" t="s">
        <v>0</v>
      </c>
      <c r="B5" s="80" t="str">
        <f ca="1">IFERROR(__xludf.dummyfunction("GoogleFinance(""TADAWUL:""&amp;B1,""marketcap"")/1000000"),"722.39")</f>
        <v>722.39</v>
      </c>
      <c r="C5" s="80" t="str">
        <f ca="1">IFERROR(__xludf.dummyfunction("GoogleFinance(""TADAWUL:""&amp;B1,""marketcap"")/1000000"),"722.39")</f>
        <v>722.39</v>
      </c>
      <c r="H5" s="6"/>
      <c r="O5" s="6"/>
    </row>
    <row r="6" spans="1:20">
      <c r="A6" s="2" t="s">
        <v>1</v>
      </c>
      <c r="B6" s="4">
        <f ca="1">B5*1000+(B22-B20)-P23</f>
        <v>849006</v>
      </c>
      <c r="C6" s="4">
        <f ca="1">C5*1000+(C22-C20)-Q23</f>
        <v>819979</v>
      </c>
      <c r="H6" s="6"/>
      <c r="O6" s="6"/>
    </row>
    <row r="7" spans="1:20">
      <c r="A7" s="2" t="s">
        <v>2</v>
      </c>
      <c r="B7" s="5" t="str">
        <f ca="1">IFERROR(__xludf.dummyfunction("GoogleFinance(""TADAWUL:""&amp;B1,""shares"")/1000000"),"29.974598")</f>
        <v>29.974598</v>
      </c>
      <c r="C7" s="5" t="str">
        <f ca="1">IFERROR(__xludf.dummyfunction("GoogleFinance(""TADAWUL:""&amp;B1,""shares"")/1000000"),"29.974598")</f>
        <v>29.974598</v>
      </c>
      <c r="H7" s="6"/>
      <c r="O7" s="6"/>
    </row>
    <row r="8" spans="1:20">
      <c r="H8" s="6"/>
      <c r="O8" s="6"/>
    </row>
    <row r="9" spans="1:20">
      <c r="H9" s="6"/>
      <c r="O9" s="6"/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22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22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22">
        <v>41274</v>
      </c>
    </row>
    <row r="11" spans="1:20">
      <c r="A11" s="10" t="s">
        <v>6</v>
      </c>
      <c r="B11" s="11">
        <v>145623</v>
      </c>
      <c r="C11" s="11">
        <v>260198</v>
      </c>
      <c r="D11" s="11">
        <v>235387</v>
      </c>
      <c r="E11" s="11">
        <v>172623</v>
      </c>
      <c r="F11" s="56">
        <v>174834</v>
      </c>
      <c r="H11" s="10" t="s">
        <v>7</v>
      </c>
      <c r="I11" s="11">
        <v>380211</v>
      </c>
      <c r="J11" s="11">
        <v>368953</v>
      </c>
      <c r="K11" s="11">
        <v>350308</v>
      </c>
      <c r="L11" s="11">
        <v>340993</v>
      </c>
      <c r="M11" s="56">
        <v>344537</v>
      </c>
      <c r="O11" s="10" t="s">
        <v>8</v>
      </c>
      <c r="P11" s="11">
        <v>77714</v>
      </c>
      <c r="Q11" s="11">
        <v>91103</v>
      </c>
      <c r="R11" s="11">
        <v>107013</v>
      </c>
      <c r="S11" s="11">
        <v>102069</v>
      </c>
      <c r="T11" s="56">
        <v>101677</v>
      </c>
    </row>
    <row r="12" spans="1:20">
      <c r="A12" s="10" t="s">
        <v>9</v>
      </c>
      <c r="B12" s="11">
        <v>147542</v>
      </c>
      <c r="C12" s="11">
        <v>111294</v>
      </c>
      <c r="D12" s="11">
        <v>151629</v>
      </c>
      <c r="E12" s="11">
        <v>135258</v>
      </c>
      <c r="F12" s="56">
        <v>115383</v>
      </c>
      <c r="H12" s="10" t="s">
        <v>10</v>
      </c>
      <c r="I12" s="11">
        <v>243666</v>
      </c>
      <c r="J12" s="11">
        <v>228557</v>
      </c>
      <c r="K12" s="11">
        <v>198446</v>
      </c>
      <c r="L12" s="11">
        <v>188455</v>
      </c>
      <c r="M12" s="56">
        <v>194704</v>
      </c>
      <c r="O12" s="10" t="s">
        <v>11</v>
      </c>
      <c r="P12" s="11">
        <v>49431</v>
      </c>
      <c r="Q12" s="11">
        <v>46533</v>
      </c>
      <c r="R12" s="11">
        <v>42471</v>
      </c>
      <c r="S12" s="11">
        <v>42167</v>
      </c>
      <c r="T12" s="56">
        <v>37094</v>
      </c>
    </row>
    <row r="13" spans="1:20">
      <c r="A13" s="10" t="s">
        <v>12</v>
      </c>
      <c r="B13" s="18"/>
      <c r="C13" s="11">
        <v>6567</v>
      </c>
      <c r="D13" s="11">
        <v>6567</v>
      </c>
      <c r="E13" s="11">
        <v>6567</v>
      </c>
      <c r="F13" s="56">
        <v>6567</v>
      </c>
      <c r="H13" s="10" t="s">
        <v>13</v>
      </c>
      <c r="I13" s="11">
        <v>136545</v>
      </c>
      <c r="J13" s="11">
        <v>140396</v>
      </c>
      <c r="K13" s="11">
        <v>151862</v>
      </c>
      <c r="L13" s="11">
        <v>152538</v>
      </c>
      <c r="M13" s="56">
        <v>149833</v>
      </c>
      <c r="O13" s="10" t="s">
        <v>14</v>
      </c>
      <c r="P13" s="13">
        <v>-5071</v>
      </c>
      <c r="Q13" s="11">
        <v>28191</v>
      </c>
      <c r="R13" s="13">
        <v>-53279</v>
      </c>
      <c r="S13" s="13">
        <v>-18671</v>
      </c>
      <c r="T13" s="56">
        <v>50103</v>
      </c>
    </row>
    <row r="14" spans="1:20">
      <c r="A14" s="10" t="s">
        <v>15</v>
      </c>
      <c r="B14" s="11">
        <v>636737</v>
      </c>
      <c r="C14" s="11">
        <v>549114</v>
      </c>
      <c r="D14" s="11">
        <v>468526</v>
      </c>
      <c r="E14" s="11">
        <v>464831</v>
      </c>
      <c r="F14" s="56">
        <v>434357</v>
      </c>
      <c r="H14" s="10" t="s">
        <v>16</v>
      </c>
      <c r="I14" s="11">
        <v>8367</v>
      </c>
      <c r="J14" s="11">
        <v>6431</v>
      </c>
      <c r="K14" s="11">
        <v>7586</v>
      </c>
      <c r="L14" s="11">
        <v>11767</v>
      </c>
      <c r="M14" s="56">
        <v>11549</v>
      </c>
      <c r="O14" s="10" t="s">
        <v>9</v>
      </c>
      <c r="P14" s="13">
        <v>-31238</v>
      </c>
      <c r="Q14" s="11">
        <v>40335</v>
      </c>
      <c r="R14" s="13">
        <v>-16371</v>
      </c>
      <c r="S14" s="13">
        <v>-19874</v>
      </c>
      <c r="T14" s="58">
        <v>-19688</v>
      </c>
    </row>
    <row r="15" spans="1:20">
      <c r="A15" s="10" t="s">
        <v>17</v>
      </c>
      <c r="B15" s="11">
        <v>32372</v>
      </c>
      <c r="C15" s="11">
        <v>44676</v>
      </c>
      <c r="D15" s="11">
        <v>39013</v>
      </c>
      <c r="E15" s="11">
        <v>40228</v>
      </c>
      <c r="F15" s="56">
        <v>29409</v>
      </c>
      <c r="H15" s="10" t="s">
        <v>18</v>
      </c>
      <c r="I15" s="11">
        <v>144912</v>
      </c>
      <c r="J15" s="11">
        <v>146827</v>
      </c>
      <c r="K15" s="11">
        <v>159448</v>
      </c>
      <c r="L15" s="11">
        <v>164305</v>
      </c>
      <c r="M15" s="56">
        <v>161382</v>
      </c>
      <c r="O15" s="10" t="s">
        <v>19</v>
      </c>
      <c r="P15" s="11">
        <v>2064</v>
      </c>
      <c r="Q15" s="13">
        <v>-2758</v>
      </c>
      <c r="R15" s="13">
        <v>-10101</v>
      </c>
      <c r="S15" s="11">
        <v>1006</v>
      </c>
      <c r="T15" s="58">
        <v>-1609</v>
      </c>
    </row>
    <row r="16" spans="1:20">
      <c r="A16" s="10" t="s">
        <v>20</v>
      </c>
      <c r="B16" s="11">
        <v>962274</v>
      </c>
      <c r="C16" s="11">
        <v>971849</v>
      </c>
      <c r="D16" s="11">
        <v>901122</v>
      </c>
      <c r="E16" s="11">
        <v>819507</v>
      </c>
      <c r="F16" s="56">
        <v>760550</v>
      </c>
      <c r="H16" s="10" t="s">
        <v>21</v>
      </c>
      <c r="I16" s="11">
        <v>58464</v>
      </c>
      <c r="J16" s="11">
        <v>50532</v>
      </c>
      <c r="K16" s="11">
        <v>47904</v>
      </c>
      <c r="L16" s="11">
        <v>56894</v>
      </c>
      <c r="M16" s="56">
        <v>48396</v>
      </c>
      <c r="O16" s="10" t="s">
        <v>22</v>
      </c>
      <c r="P16" s="11">
        <v>2507</v>
      </c>
      <c r="Q16" s="11">
        <v>276</v>
      </c>
      <c r="R16" s="11">
        <v>3734</v>
      </c>
      <c r="S16" s="11">
        <v>530</v>
      </c>
      <c r="T16" s="56">
        <v>2677</v>
      </c>
    </row>
    <row r="17" spans="1:29">
      <c r="A17" s="10" t="s">
        <v>23</v>
      </c>
      <c r="B17" s="11">
        <v>108836</v>
      </c>
      <c r="C17" s="11">
        <v>91603</v>
      </c>
      <c r="D17" s="11">
        <v>61473</v>
      </c>
      <c r="E17" s="11">
        <v>90824</v>
      </c>
      <c r="F17" s="56">
        <v>81134</v>
      </c>
      <c r="H17" s="10" t="s">
        <v>11</v>
      </c>
      <c r="I17" s="18"/>
      <c r="J17" s="18"/>
      <c r="K17" s="18"/>
      <c r="L17" s="18"/>
      <c r="M17" s="57"/>
      <c r="O17" s="10" t="s">
        <v>24</v>
      </c>
      <c r="P17" s="18"/>
      <c r="Q17" s="18"/>
      <c r="R17" s="18"/>
      <c r="S17" s="18"/>
      <c r="T17" s="57"/>
    </row>
    <row r="18" spans="1:29">
      <c r="A18" s="10" t="s">
        <v>25</v>
      </c>
      <c r="B18" s="11">
        <v>35871</v>
      </c>
      <c r="C18" s="11">
        <v>41032</v>
      </c>
      <c r="D18" s="11">
        <v>59738</v>
      </c>
      <c r="E18" s="11">
        <v>28985</v>
      </c>
      <c r="F18" s="56">
        <v>29987</v>
      </c>
      <c r="H18" s="10" t="s">
        <v>26</v>
      </c>
      <c r="I18" s="11">
        <v>5582</v>
      </c>
      <c r="J18" s="18"/>
      <c r="K18" s="18"/>
      <c r="L18" s="18"/>
      <c r="M18" s="56">
        <v>4972</v>
      </c>
      <c r="O18" s="10" t="s">
        <v>27</v>
      </c>
      <c r="P18" s="13">
        <v>-100543</v>
      </c>
      <c r="Q18" s="13">
        <v>-130961</v>
      </c>
      <c r="R18" s="13">
        <v>-46288</v>
      </c>
      <c r="S18" s="13">
        <v>-72641</v>
      </c>
      <c r="T18" s="58">
        <v>-89213</v>
      </c>
    </row>
    <row r="19" spans="1:29">
      <c r="A19" s="10" t="s">
        <v>28</v>
      </c>
      <c r="B19" s="18"/>
      <c r="C19" s="18"/>
      <c r="D19" s="18"/>
      <c r="E19" s="18"/>
      <c r="F19" s="57"/>
      <c r="H19" s="10" t="s">
        <v>29</v>
      </c>
      <c r="I19" s="11">
        <v>64046</v>
      </c>
      <c r="J19" s="11">
        <v>50532</v>
      </c>
      <c r="K19" s="11">
        <v>47904</v>
      </c>
      <c r="L19" s="11">
        <v>56894</v>
      </c>
      <c r="M19" s="56">
        <v>53368</v>
      </c>
      <c r="O19" s="10" t="s">
        <v>30</v>
      </c>
      <c r="P19" s="11">
        <v>24028</v>
      </c>
      <c r="Q19" s="13">
        <v>-58515</v>
      </c>
      <c r="R19" s="11">
        <v>12808</v>
      </c>
      <c r="S19" s="13">
        <v>-10819</v>
      </c>
      <c r="T19" s="58">
        <v>-7908</v>
      </c>
    </row>
    <row r="20" spans="1:29">
      <c r="A20" s="10" t="s">
        <v>31</v>
      </c>
      <c r="B20" s="11">
        <v>817567</v>
      </c>
      <c r="C20" s="11">
        <v>839214</v>
      </c>
      <c r="D20" s="11">
        <v>779911</v>
      </c>
      <c r="E20" s="11">
        <v>699698</v>
      </c>
      <c r="F20" s="56">
        <v>649429</v>
      </c>
      <c r="H20" s="10" t="s">
        <v>32</v>
      </c>
      <c r="I20" s="11">
        <v>80866</v>
      </c>
      <c r="J20" s="11">
        <v>96295</v>
      </c>
      <c r="K20" s="11">
        <v>111544</v>
      </c>
      <c r="L20" s="11">
        <v>107411</v>
      </c>
      <c r="M20" s="56">
        <v>108014</v>
      </c>
      <c r="O20" s="10" t="s">
        <v>33</v>
      </c>
      <c r="P20" s="11">
        <v>22075</v>
      </c>
      <c r="Q20" s="13">
        <v>-976</v>
      </c>
      <c r="R20" s="13">
        <v>-15784</v>
      </c>
      <c r="S20" s="11">
        <v>3943</v>
      </c>
      <c r="T20" s="58">
        <v>-11428</v>
      </c>
    </row>
    <row r="21" spans="1:29">
      <c r="A21" s="10" t="s">
        <v>34</v>
      </c>
      <c r="B21" s="18"/>
      <c r="C21" s="18"/>
      <c r="D21" s="18"/>
      <c r="E21" s="18"/>
      <c r="F21" s="59"/>
      <c r="H21" s="10" t="s">
        <v>35</v>
      </c>
      <c r="I21" s="11">
        <v>3152</v>
      </c>
      <c r="J21" s="11">
        <v>5192</v>
      </c>
      <c r="K21" s="11">
        <v>4531</v>
      </c>
      <c r="L21" s="11">
        <v>5342</v>
      </c>
      <c r="M21" s="56">
        <v>6337</v>
      </c>
      <c r="O21" s="10" t="s">
        <v>36</v>
      </c>
      <c r="P21" s="13">
        <v>-57922</v>
      </c>
      <c r="Q21" s="13">
        <v>-19676</v>
      </c>
      <c r="R21" s="13">
        <v>-11969</v>
      </c>
      <c r="S21" s="13">
        <v>-47585</v>
      </c>
      <c r="T21" s="58">
        <v>-38657</v>
      </c>
    </row>
    <row r="22" spans="1:29">
      <c r="A22" s="10" t="s">
        <v>37</v>
      </c>
      <c r="B22" s="11">
        <v>962274</v>
      </c>
      <c r="C22" s="11">
        <v>971849</v>
      </c>
      <c r="D22" s="11">
        <v>901122</v>
      </c>
      <c r="E22" s="11">
        <v>819507</v>
      </c>
      <c r="F22" s="56">
        <v>760550</v>
      </c>
      <c r="H22" s="10" t="s">
        <v>8</v>
      </c>
      <c r="I22" s="11">
        <v>77714</v>
      </c>
      <c r="J22" s="11">
        <v>91103</v>
      </c>
      <c r="K22" s="11">
        <v>107013</v>
      </c>
      <c r="L22" s="11">
        <v>102069</v>
      </c>
      <c r="M22" s="56">
        <v>101677</v>
      </c>
      <c r="O22" s="10" t="s">
        <v>38</v>
      </c>
      <c r="P22" s="11">
        <v>35046</v>
      </c>
      <c r="Q22" s="11">
        <v>41494</v>
      </c>
      <c r="R22" s="11">
        <v>29260</v>
      </c>
      <c r="S22" s="11">
        <v>49135</v>
      </c>
      <c r="T22" s="56">
        <v>26087</v>
      </c>
    </row>
    <row r="23" spans="1:29">
      <c r="H23" s="10" t="s">
        <v>39</v>
      </c>
      <c r="I23" s="11">
        <v>243183</v>
      </c>
      <c r="J23" s="11">
        <v>192991</v>
      </c>
      <c r="K23" s="11">
        <v>178479</v>
      </c>
      <c r="L23" s="11">
        <v>115710</v>
      </c>
      <c r="M23" s="56">
        <v>75746</v>
      </c>
      <c r="O23" s="10" t="s">
        <v>40</v>
      </c>
      <c r="P23" s="11">
        <v>18091</v>
      </c>
      <c r="Q23" s="11">
        <v>35046</v>
      </c>
      <c r="R23" s="11">
        <v>41494</v>
      </c>
      <c r="S23" s="11">
        <v>29260</v>
      </c>
      <c r="T23" s="56">
        <v>49135</v>
      </c>
    </row>
    <row r="24" spans="1:29">
      <c r="H24" s="10" t="s">
        <v>41</v>
      </c>
      <c r="I24" s="11">
        <v>7059</v>
      </c>
      <c r="J24" s="11">
        <v>9110</v>
      </c>
      <c r="K24" s="11">
        <v>10701</v>
      </c>
      <c r="L24" s="11">
        <v>12500</v>
      </c>
      <c r="M24" s="56">
        <v>9913</v>
      </c>
      <c r="O24" s="2" t="s">
        <v>42</v>
      </c>
      <c r="P24" s="12">
        <f>SUM(P11:P17)</f>
        <v>95407</v>
      </c>
      <c r="Q24" s="12">
        <f>SUM(Q11:Q17)</f>
        <v>203680</v>
      </c>
      <c r="R24" s="12">
        <f>SUM(R11:R17)</f>
        <v>73467</v>
      </c>
      <c r="S24" s="12">
        <f>SUM(S11:S17)</f>
        <v>107227</v>
      </c>
      <c r="T24" s="12">
        <f>SUM(T11:T17)</f>
        <v>170254</v>
      </c>
    </row>
    <row r="25" spans="1:29">
      <c r="H25" s="10" t="s">
        <v>43</v>
      </c>
      <c r="I25" s="11">
        <v>30000</v>
      </c>
      <c r="J25" s="11">
        <v>30000</v>
      </c>
      <c r="K25" s="11">
        <v>30000</v>
      </c>
      <c r="L25" s="11">
        <v>25000</v>
      </c>
      <c r="M25" s="56">
        <v>50000</v>
      </c>
      <c r="O25" s="2" t="s">
        <v>44</v>
      </c>
      <c r="P25" s="12">
        <f>P18+P19</f>
        <v>-76515</v>
      </c>
      <c r="Q25" s="12">
        <f>Q18+Q19</f>
        <v>-189476</v>
      </c>
      <c r="R25" s="12">
        <f>R18+R19</f>
        <v>-33480</v>
      </c>
      <c r="S25" s="12">
        <f>S18+S19</f>
        <v>-83460</v>
      </c>
      <c r="T25" s="12">
        <f>T18+T19</f>
        <v>-97121</v>
      </c>
    </row>
    <row r="26" spans="1:29">
      <c r="H26" s="10" t="s">
        <v>45</v>
      </c>
      <c r="I26" s="11">
        <v>4990</v>
      </c>
      <c r="J26" s="11">
        <v>1800</v>
      </c>
      <c r="K26" s="11">
        <v>51800</v>
      </c>
      <c r="L26" s="11">
        <v>1800</v>
      </c>
      <c r="M26" s="56">
        <v>1800</v>
      </c>
      <c r="O26" s="2" t="s">
        <v>46</v>
      </c>
      <c r="P26" s="12">
        <f>P20+P21</f>
        <v>-35847</v>
      </c>
      <c r="Q26" s="12">
        <f>Q20+Q21</f>
        <v>-20652</v>
      </c>
      <c r="R26" s="12">
        <f>R20+R21</f>
        <v>-27753</v>
      </c>
      <c r="S26" s="12">
        <f>S20+S21</f>
        <v>-43642</v>
      </c>
      <c r="T26" s="12">
        <f>T20+T21</f>
        <v>-50085</v>
      </c>
    </row>
    <row r="27" spans="1:29">
      <c r="H27" s="10" t="s">
        <v>47</v>
      </c>
      <c r="I27" s="11">
        <v>278848</v>
      </c>
      <c r="J27" s="11">
        <v>243183</v>
      </c>
      <c r="K27" s="11">
        <v>192991</v>
      </c>
      <c r="L27" s="11">
        <v>178479</v>
      </c>
      <c r="M27" s="56">
        <v>115710</v>
      </c>
      <c r="O27" s="2" t="s">
        <v>119</v>
      </c>
      <c r="P27" s="12">
        <f>P24+P18</f>
        <v>-5136</v>
      </c>
      <c r="Q27" s="12">
        <f>Q24+Q18</f>
        <v>72719</v>
      </c>
      <c r="R27" s="12">
        <f>R24+R18</f>
        <v>27179</v>
      </c>
      <c r="S27" s="12">
        <f>S24+S18</f>
        <v>34586</v>
      </c>
      <c r="T27" s="12">
        <f>T24+T18</f>
        <v>81041</v>
      </c>
    </row>
    <row r="28" spans="1:29">
      <c r="H28" s="6"/>
      <c r="O28" s="2" t="s">
        <v>120</v>
      </c>
      <c r="P28" s="12">
        <f>(E11-D11)+(D17-E17)</f>
        <v>-92115</v>
      </c>
      <c r="Q28" s="12">
        <f>(F11-E11)+(E17-F17)</f>
        <v>11901</v>
      </c>
      <c r="R28" s="12">
        <f>(G11-F11)+(F17-G17)</f>
        <v>-93700</v>
      </c>
      <c r="S28" s="12" t="e">
        <f>(H11-G11)+(G17-H17)</f>
        <v>#VALUE!</v>
      </c>
      <c r="T28" s="12" t="e">
        <f>(I11-H11)+(H17-I17)</f>
        <v>#VALUE!</v>
      </c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/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0.15133215695321706</v>
      </c>
      <c r="C30" s="24">
        <f t="shared" si="0"/>
        <v>0.26773500821629698</v>
      </c>
      <c r="D30" s="24">
        <f t="shared" si="0"/>
        <v>0.26121546250119293</v>
      </c>
      <c r="E30" s="24">
        <f t="shared" si="0"/>
        <v>0.21064249603725166</v>
      </c>
      <c r="F30" s="24">
        <f t="shared" si="0"/>
        <v>0.22987837748997436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0.2043970321742401</v>
      </c>
      <c r="Q30" s="26">
        <f t="shared" ref="Q30:Q42" si="3">Q11/J$11</f>
        <v>0.24692304981935367</v>
      </c>
      <c r="R30" s="26">
        <f t="shared" ref="R30:R42" si="4">R11/K$11</f>
        <v>0.30548260388001414</v>
      </c>
      <c r="S30" s="26">
        <f t="shared" ref="S30:S42" si="5">S11/L$11</f>
        <v>0.29932872522309845</v>
      </c>
      <c r="T30" s="26">
        <f t="shared" ref="T30:T42" si="6">T11/M$11</f>
        <v>0.29511199087471013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0.1533263914436013</v>
      </c>
      <c r="C31" s="24">
        <f t="shared" si="0"/>
        <v>0.11451779031516213</v>
      </c>
      <c r="D31" s="24">
        <f t="shared" si="0"/>
        <v>0.16826689393888952</v>
      </c>
      <c r="E31" s="24">
        <f t="shared" si="0"/>
        <v>0.16504801057220989</v>
      </c>
      <c r="F31" s="24">
        <f t="shared" si="0"/>
        <v>0.15170994674906318</v>
      </c>
      <c r="G31" s="6"/>
      <c r="H31" s="25" t="s">
        <v>10</v>
      </c>
      <c r="I31" s="24">
        <f t="shared" si="1"/>
        <v>0.64087046403181391</v>
      </c>
      <c r="J31" s="24">
        <f t="shared" si="1"/>
        <v>0.61947456722129923</v>
      </c>
      <c r="K31" s="24">
        <f t="shared" si="1"/>
        <v>0.56649006017561687</v>
      </c>
      <c r="L31" s="24">
        <f t="shared" si="1"/>
        <v>0.55266530397984714</v>
      </c>
      <c r="M31" s="24">
        <f t="shared" si="1"/>
        <v>0.5651178247909513</v>
      </c>
      <c r="N31" s="6"/>
      <c r="O31" s="25" t="s">
        <v>11</v>
      </c>
      <c r="P31" s="26">
        <f t="shared" si="2"/>
        <v>0.1300093895231858</v>
      </c>
      <c r="Q31" s="26">
        <f t="shared" si="3"/>
        <v>0.12612175534553183</v>
      </c>
      <c r="R31" s="26">
        <f t="shared" si="4"/>
        <v>0.121239023944643</v>
      </c>
      <c r="S31" s="26">
        <f t="shared" si="5"/>
        <v>0.12365942995897276</v>
      </c>
      <c r="T31" s="26">
        <f t="shared" si="6"/>
        <v>0.10766332788640988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0</v>
      </c>
      <c r="C32" s="24">
        <f t="shared" si="0"/>
        <v>6.757222572642458E-3</v>
      </c>
      <c r="D32" s="24">
        <f t="shared" si="0"/>
        <v>7.2875814817527484E-3</v>
      </c>
      <c r="E32" s="24">
        <f t="shared" si="0"/>
        <v>8.0133543703714543E-3</v>
      </c>
      <c r="F32" s="24">
        <f t="shared" si="0"/>
        <v>8.6345407928472822E-3</v>
      </c>
      <c r="G32" s="6"/>
      <c r="H32" s="25" t="s">
        <v>13</v>
      </c>
      <c r="I32" s="24">
        <f t="shared" si="1"/>
        <v>0.35912953596818609</v>
      </c>
      <c r="J32" s="24">
        <f t="shared" si="1"/>
        <v>0.38052543277870082</v>
      </c>
      <c r="K32" s="24">
        <f t="shared" si="1"/>
        <v>0.43350993982438313</v>
      </c>
      <c r="L32" s="24">
        <f t="shared" si="1"/>
        <v>0.44733469602015291</v>
      </c>
      <c r="M32" s="24">
        <f t="shared" si="1"/>
        <v>0.43488217520904865</v>
      </c>
      <c r="N32" s="6"/>
      <c r="O32" s="25" t="s">
        <v>14</v>
      </c>
      <c r="P32" s="26">
        <f t="shared" si="2"/>
        <v>-1.3337331113513286E-2</v>
      </c>
      <c r="Q32" s="26">
        <f t="shared" si="3"/>
        <v>7.6408106181546157E-2</v>
      </c>
      <c r="R32" s="26">
        <f t="shared" si="4"/>
        <v>-0.15209187343708966</v>
      </c>
      <c r="S32" s="26">
        <f t="shared" si="5"/>
        <v>-5.475478968776485E-2</v>
      </c>
      <c r="T32" s="26">
        <f t="shared" si="6"/>
        <v>0.1454212464844124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0.66170030573412564</v>
      </c>
      <c r="C33" s="24">
        <f t="shared" si="0"/>
        <v>0.56501987448667434</v>
      </c>
      <c r="D33" s="24">
        <f t="shared" si="0"/>
        <v>0.51993625724374726</v>
      </c>
      <c r="E33" s="24">
        <f t="shared" si="0"/>
        <v>0.5672080897417594</v>
      </c>
      <c r="F33" s="24">
        <f t="shared" si="0"/>
        <v>0.5711090658076392</v>
      </c>
      <c r="G33" s="6"/>
      <c r="H33" s="25" t="s">
        <v>16</v>
      </c>
      <c r="I33" s="24">
        <f t="shared" si="1"/>
        <v>2.2006201819516007E-2</v>
      </c>
      <c r="J33" s="24">
        <f t="shared" si="1"/>
        <v>1.7430404414654443E-2</v>
      </c>
      <c r="K33" s="24">
        <f t="shared" si="1"/>
        <v>2.1655229112666569E-2</v>
      </c>
      <c r="L33" s="24">
        <f t="shared" si="1"/>
        <v>3.4508039754481766E-2</v>
      </c>
      <c r="M33" s="24">
        <f t="shared" si="1"/>
        <v>3.3520347596919922E-2</v>
      </c>
      <c r="N33" s="6"/>
      <c r="O33" s="25" t="s">
        <v>9</v>
      </c>
      <c r="P33" s="26">
        <f t="shared" si="2"/>
        <v>-8.215964293510708E-2</v>
      </c>
      <c r="Q33" s="26">
        <f t="shared" si="3"/>
        <v>0.10932286768233353</v>
      </c>
      <c r="R33" s="26">
        <f t="shared" si="4"/>
        <v>-4.6733160533016661E-2</v>
      </c>
      <c r="S33" s="26">
        <f t="shared" si="5"/>
        <v>-5.8282721346185992E-2</v>
      </c>
      <c r="T33" s="26">
        <f t="shared" si="6"/>
        <v>-5.7143354705009912E-2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>
        <f t="shared" si="0"/>
        <v>3.3641145869056005E-2</v>
      </c>
      <c r="C34" s="24">
        <f t="shared" si="0"/>
        <v>4.5970104409224069E-2</v>
      </c>
      <c r="D34" s="24">
        <f t="shared" si="0"/>
        <v>4.329380483441754E-2</v>
      </c>
      <c r="E34" s="24">
        <f t="shared" si="0"/>
        <v>4.9088049278407625E-2</v>
      </c>
      <c r="F34" s="24">
        <f t="shared" si="0"/>
        <v>3.8668069160475972E-2</v>
      </c>
      <c r="G34" s="6"/>
      <c r="H34" s="25" t="s">
        <v>18</v>
      </c>
      <c r="I34" s="24">
        <f t="shared" si="1"/>
        <v>0.3811357377877021</v>
      </c>
      <c r="J34" s="24">
        <f t="shared" si="1"/>
        <v>0.39795583719335526</v>
      </c>
      <c r="K34" s="24">
        <f t="shared" si="1"/>
        <v>0.45516516893704967</v>
      </c>
      <c r="L34" s="24">
        <f t="shared" si="1"/>
        <v>0.48184273577463466</v>
      </c>
      <c r="M34" s="24">
        <f t="shared" si="1"/>
        <v>0.46840252280596861</v>
      </c>
      <c r="N34" s="6"/>
      <c r="O34" s="25" t="s">
        <v>19</v>
      </c>
      <c r="P34" s="26">
        <f t="shared" si="2"/>
        <v>5.42856466540947E-3</v>
      </c>
      <c r="Q34" s="26">
        <f t="shared" si="3"/>
        <v>-7.475206869167618E-3</v>
      </c>
      <c r="R34" s="26">
        <f t="shared" si="4"/>
        <v>-2.883462552953401E-2</v>
      </c>
      <c r="S34" s="26">
        <f t="shared" si="5"/>
        <v>2.9502071890038797E-3</v>
      </c>
      <c r="T34" s="26">
        <f t="shared" si="6"/>
        <v>-4.6700354388643306E-3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0.15376725028997057</v>
      </c>
      <c r="J35" s="24">
        <f t="shared" si="1"/>
        <v>0.13696053426859248</v>
      </c>
      <c r="K35" s="24">
        <f t="shared" si="1"/>
        <v>0.13674823298354591</v>
      </c>
      <c r="L35" s="24">
        <f t="shared" si="1"/>
        <v>0.16684799981231285</v>
      </c>
      <c r="M35" s="24">
        <f t="shared" si="1"/>
        <v>0.14046677134821514</v>
      </c>
      <c r="N35" s="6"/>
      <c r="O35" s="25" t="s">
        <v>22</v>
      </c>
      <c r="P35" s="26">
        <f t="shared" si="2"/>
        <v>6.59370717838253E-3</v>
      </c>
      <c r="Q35" s="26">
        <f t="shared" si="3"/>
        <v>7.4806276138153103E-4</v>
      </c>
      <c r="R35" s="26">
        <f t="shared" si="4"/>
        <v>1.0659191340192059E-2</v>
      </c>
      <c r="S35" s="26">
        <f t="shared" si="5"/>
        <v>1.5542841055388233E-3</v>
      </c>
      <c r="T35" s="26">
        <f t="shared" si="6"/>
        <v>7.7698476506151736E-3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0.11310292078971271</v>
      </c>
      <c r="C36" s="24">
        <f t="shared" si="0"/>
        <v>9.425641226157562E-2</v>
      </c>
      <c r="D36" s="24">
        <f t="shared" si="0"/>
        <v>6.821828786779148E-2</v>
      </c>
      <c r="E36" s="24">
        <f t="shared" si="0"/>
        <v>0.11082760732977266</v>
      </c>
      <c r="F36" s="24">
        <f t="shared" si="0"/>
        <v>0.10667806192886727</v>
      </c>
      <c r="G36" s="6"/>
      <c r="H36" s="25" t="s">
        <v>11</v>
      </c>
      <c r="I36" s="24">
        <f t="shared" si="1"/>
        <v>0</v>
      </c>
      <c r="J36" s="24">
        <f t="shared" si="1"/>
        <v>0</v>
      </c>
      <c r="K36" s="24">
        <f t="shared" si="1"/>
        <v>0</v>
      </c>
      <c r="L36" s="24">
        <f t="shared" si="1"/>
        <v>0</v>
      </c>
      <c r="M36" s="24">
        <f t="shared" si="1"/>
        <v>0</v>
      </c>
      <c r="N36" s="6"/>
      <c r="O36" s="25" t="s">
        <v>24</v>
      </c>
      <c r="P36" s="26">
        <f t="shared" si="2"/>
        <v>0</v>
      </c>
      <c r="Q36" s="26">
        <f t="shared" si="3"/>
        <v>0</v>
      </c>
      <c r="R36" s="26">
        <f t="shared" si="4"/>
        <v>0</v>
      </c>
      <c r="S36" s="26">
        <f t="shared" si="5"/>
        <v>0</v>
      </c>
      <c r="T36" s="26">
        <f t="shared" si="6"/>
        <v>0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3.727732433797442E-2</v>
      </c>
      <c r="C37" s="24">
        <f t="shared" si="0"/>
        <v>4.2220550723414851E-2</v>
      </c>
      <c r="D37" s="24">
        <f t="shared" si="0"/>
        <v>6.629291039393112E-2</v>
      </c>
      <c r="E37" s="24">
        <f t="shared" si="0"/>
        <v>3.5368825403565805E-2</v>
      </c>
      <c r="F37" s="24">
        <f t="shared" si="0"/>
        <v>3.9428045493392939E-2</v>
      </c>
      <c r="G37" s="6"/>
      <c r="H37" s="25" t="s">
        <v>26</v>
      </c>
      <c r="I37" s="24">
        <f t="shared" si="1"/>
        <v>1.4681321687168441E-2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1.4430960970810102E-2</v>
      </c>
      <c r="N37" s="6"/>
      <c r="O37" s="25" t="s">
        <v>27</v>
      </c>
      <c r="P37" s="26">
        <f t="shared" si="2"/>
        <v>-0.26444000831117459</v>
      </c>
      <c r="Q37" s="26">
        <f t="shared" si="3"/>
        <v>-0.35495306990321263</v>
      </c>
      <c r="R37" s="26">
        <f t="shared" si="4"/>
        <v>-0.1321351496397456</v>
      </c>
      <c r="S37" s="26">
        <f t="shared" si="5"/>
        <v>-0.21302783341593523</v>
      </c>
      <c r="T37" s="26">
        <f t="shared" si="6"/>
        <v>-0.25893590528738569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24">
        <f t="shared" si="0"/>
        <v>0</v>
      </c>
      <c r="G38" s="6"/>
      <c r="H38" s="25" t="s">
        <v>29</v>
      </c>
      <c r="I38" s="24">
        <f t="shared" si="1"/>
        <v>0.168448571977139</v>
      </c>
      <c r="J38" s="24">
        <f t="shared" si="1"/>
        <v>0.13696053426859248</v>
      </c>
      <c r="K38" s="24">
        <f t="shared" si="1"/>
        <v>0.13674823298354591</v>
      </c>
      <c r="L38" s="24">
        <f t="shared" si="1"/>
        <v>0.16684799981231285</v>
      </c>
      <c r="M38" s="24">
        <f t="shared" si="1"/>
        <v>0.15489773231902523</v>
      </c>
      <c r="N38" s="6"/>
      <c r="O38" s="25" t="s">
        <v>30</v>
      </c>
      <c r="P38" s="26">
        <f t="shared" si="2"/>
        <v>6.3196488265726131E-2</v>
      </c>
      <c r="Q38" s="26">
        <f t="shared" si="3"/>
        <v>-0.15859743652985611</v>
      </c>
      <c r="R38" s="26">
        <f t="shared" si="4"/>
        <v>3.6562111056555942E-2</v>
      </c>
      <c r="S38" s="26">
        <f t="shared" si="5"/>
        <v>-3.1727924033631186E-2</v>
      </c>
      <c r="T38" s="26">
        <f t="shared" si="6"/>
        <v>-2.2952542107233766E-2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0.84961975487231289</v>
      </c>
      <c r="C39" s="24">
        <f t="shared" si="0"/>
        <v>0.86352303701500954</v>
      </c>
      <c r="D39" s="24">
        <f t="shared" si="0"/>
        <v>0.86548880173827736</v>
      </c>
      <c r="E39" s="24">
        <f t="shared" si="0"/>
        <v>0.85380356726666151</v>
      </c>
      <c r="F39" s="24">
        <f t="shared" si="0"/>
        <v>0.85389389257773984</v>
      </c>
      <c r="G39" s="6"/>
      <c r="H39" s="25" t="s">
        <v>32</v>
      </c>
      <c r="I39" s="24">
        <f t="shared" si="1"/>
        <v>0.21268716581056307</v>
      </c>
      <c r="J39" s="24">
        <f t="shared" si="1"/>
        <v>0.26099530292476275</v>
      </c>
      <c r="K39" s="24">
        <f t="shared" si="1"/>
        <v>0.31841693595350379</v>
      </c>
      <c r="L39" s="24">
        <f t="shared" si="1"/>
        <v>0.3149947359623218</v>
      </c>
      <c r="M39" s="24">
        <f t="shared" si="1"/>
        <v>0.31350479048694335</v>
      </c>
      <c r="N39" s="6"/>
      <c r="O39" s="25" t="s">
        <v>33</v>
      </c>
      <c r="P39" s="26">
        <f t="shared" si="2"/>
        <v>5.8059866758194793E-2</v>
      </c>
      <c r="Q39" s="26">
        <f t="shared" si="3"/>
        <v>-2.6453233880738198E-3</v>
      </c>
      <c r="R39" s="26">
        <f t="shared" si="4"/>
        <v>-4.5057492263950581E-2</v>
      </c>
      <c r="S39" s="26">
        <f t="shared" si="5"/>
        <v>1.1563287222904868E-2</v>
      </c>
      <c r="T39" s="26">
        <f t="shared" si="6"/>
        <v>-3.3169151644090476E-2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24">
        <f t="shared" si="0"/>
        <v>0</v>
      </c>
      <c r="G40" s="6"/>
      <c r="H40" s="25" t="s">
        <v>35</v>
      </c>
      <c r="I40" s="24">
        <f t="shared" ref="I40:M49" si="7">I21/I$11</f>
        <v>8.290133636322989E-3</v>
      </c>
      <c r="J40" s="24">
        <f t="shared" si="7"/>
        <v>1.4072253105409089E-2</v>
      </c>
      <c r="K40" s="24">
        <f t="shared" si="7"/>
        <v>1.2934332073489615E-2</v>
      </c>
      <c r="L40" s="24">
        <f t="shared" si="7"/>
        <v>1.5666010739223385E-2</v>
      </c>
      <c r="M40" s="24">
        <f t="shared" si="7"/>
        <v>1.8392799612233227E-2</v>
      </c>
      <c r="N40" s="6"/>
      <c r="O40" s="25" t="s">
        <v>36</v>
      </c>
      <c r="P40" s="26">
        <f t="shared" si="2"/>
        <v>-0.15234172604159268</v>
      </c>
      <c r="Q40" s="26">
        <f t="shared" si="3"/>
        <v>-5.3329285843996391E-2</v>
      </c>
      <c r="R40" s="26">
        <f t="shared" si="4"/>
        <v>-3.4167075830412091E-2</v>
      </c>
      <c r="S40" s="26">
        <f t="shared" si="5"/>
        <v>-0.13954831917370739</v>
      </c>
      <c r="T40" s="26">
        <f t="shared" si="6"/>
        <v>-0.11219985081428119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0.2043970321742401</v>
      </c>
      <c r="J41" s="24">
        <f t="shared" si="7"/>
        <v>0.24692304981935367</v>
      </c>
      <c r="K41" s="24">
        <f t="shared" si="7"/>
        <v>0.30548260388001414</v>
      </c>
      <c r="L41" s="24">
        <f t="shared" si="7"/>
        <v>0.29932872522309845</v>
      </c>
      <c r="M41" s="24">
        <f t="shared" si="7"/>
        <v>0.29511199087471013</v>
      </c>
      <c r="N41" s="6"/>
      <c r="O41" s="25" t="s">
        <v>38</v>
      </c>
      <c r="P41" s="26">
        <f t="shared" si="2"/>
        <v>9.2175134333304404E-2</v>
      </c>
      <c r="Q41" s="26">
        <f t="shared" si="3"/>
        <v>0.11246418920567118</v>
      </c>
      <c r="R41" s="26">
        <f t="shared" si="4"/>
        <v>8.3526496682919033E-2</v>
      </c>
      <c r="S41" s="26">
        <f t="shared" si="5"/>
        <v>0.14409386702952848</v>
      </c>
      <c r="T41" s="26">
        <f t="shared" si="6"/>
        <v>7.571610596249459E-2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0.63960011677726314</v>
      </c>
      <c r="J42" s="24">
        <f t="shared" si="7"/>
        <v>0.52307746515138787</v>
      </c>
      <c r="K42" s="24">
        <f t="shared" si="7"/>
        <v>0.5094916473503317</v>
      </c>
      <c r="L42" s="24">
        <f t="shared" si="7"/>
        <v>0.3393324789658439</v>
      </c>
      <c r="M42" s="24">
        <f t="shared" si="7"/>
        <v>0.2198486664712353</v>
      </c>
      <c r="N42" s="6"/>
      <c r="O42" s="25" t="s">
        <v>40</v>
      </c>
      <c r="P42" s="26">
        <f t="shared" si="2"/>
        <v>4.7581474497055583E-2</v>
      </c>
      <c r="Q42" s="26">
        <f t="shared" si="3"/>
        <v>9.4987708461511361E-2</v>
      </c>
      <c r="R42" s="26">
        <f t="shared" si="4"/>
        <v>0.11845004967057561</v>
      </c>
      <c r="S42" s="26">
        <f t="shared" si="5"/>
        <v>8.5808213071822584E-2</v>
      </c>
      <c r="T42" s="26">
        <f t="shared" si="6"/>
        <v>0.14261167886177681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1.856600676992512E-2</v>
      </c>
      <c r="J43" s="24">
        <f t="shared" si="7"/>
        <v>2.4691491870238214E-2</v>
      </c>
      <c r="K43" s="24">
        <f t="shared" si="7"/>
        <v>3.0547403998766799E-2</v>
      </c>
      <c r="L43" s="24">
        <f t="shared" si="7"/>
        <v>3.6657643998557157E-2</v>
      </c>
      <c r="M43" s="24">
        <f t="shared" si="7"/>
        <v>2.8771946118994477E-2</v>
      </c>
      <c r="N43" s="6"/>
      <c r="O43" s="2" t="s">
        <v>49</v>
      </c>
      <c r="P43" s="26">
        <f>P24/I11</f>
        <v>0.25093171949259752</v>
      </c>
      <c r="Q43" s="26">
        <f>Q24/J11</f>
        <v>0.55204863492097911</v>
      </c>
      <c r="R43" s="26">
        <f>R24/K11</f>
        <v>0.20972115966520891</v>
      </c>
      <c r="S43" s="26">
        <f>S24/L11</f>
        <v>0.31445513544266307</v>
      </c>
      <c r="T43" s="26">
        <f>T24/M11</f>
        <v>0.49415302275227335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7.8903556183277185E-2</v>
      </c>
      <c r="J44" s="24">
        <f t="shared" si="7"/>
        <v>8.1311169715383796E-2</v>
      </c>
      <c r="K44" s="24">
        <f t="shared" si="7"/>
        <v>8.5638923461639468E-2</v>
      </c>
      <c r="L44" s="24">
        <f t="shared" si="7"/>
        <v>7.3315287997114315E-2</v>
      </c>
      <c r="M44" s="24">
        <f t="shared" si="7"/>
        <v>0.14512229455762371</v>
      </c>
      <c r="N44" s="6"/>
      <c r="O44" s="2" t="s">
        <v>50</v>
      </c>
      <c r="P44" s="26">
        <f>P24/B16</f>
        <v>9.9147436177221868E-2</v>
      </c>
      <c r="Q44" s="26">
        <f>Q24/C16</f>
        <v>0.20957988329462704</v>
      </c>
      <c r="R44" s="26">
        <f>R24/D16</f>
        <v>8.1528361309567407E-2</v>
      </c>
      <c r="S44" s="26">
        <f>S24/E16</f>
        <v>0.13084329969115577</v>
      </c>
      <c r="T44" s="26">
        <f>T24/F16</f>
        <v>0.22385641969627243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1.3124291511818438E-2</v>
      </c>
      <c r="J45" s="24">
        <f t="shared" si="7"/>
        <v>4.8786701829230282E-3</v>
      </c>
      <c r="K45" s="24">
        <f t="shared" si="7"/>
        <v>0.14786987451043082</v>
      </c>
      <c r="L45" s="24">
        <f t="shared" si="7"/>
        <v>5.27870073579223E-3</v>
      </c>
      <c r="M45" s="24">
        <f t="shared" si="7"/>
        <v>5.2244026040744532E-3</v>
      </c>
      <c r="N45" s="6"/>
      <c r="O45" s="2" t="s">
        <v>51</v>
      </c>
      <c r="P45" s="26">
        <f>P24/B20</f>
        <v>0.11669624630152636</v>
      </c>
      <c r="Q45" s="26">
        <f>Q24/C20</f>
        <v>0.24270329141315564</v>
      </c>
      <c r="R45" s="26">
        <f>R24/D20</f>
        <v>9.4199209909848688E-2</v>
      </c>
      <c r="S45" s="26">
        <f>S24/E20</f>
        <v>0.1532475439403857</v>
      </c>
      <c r="T45" s="26">
        <f>T24/F20</f>
        <v>0.26215952783137186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0.73340329448648256</v>
      </c>
      <c r="J46" s="24">
        <f t="shared" si="7"/>
        <v>0.65911647282987262</v>
      </c>
      <c r="K46" s="24">
        <f t="shared" si="7"/>
        <v>0.55091804925950882</v>
      </c>
      <c r="L46" s="24">
        <f t="shared" si="7"/>
        <v>0.52340957145747857</v>
      </c>
      <c r="M46" s="24">
        <f t="shared" si="7"/>
        <v>0.33584201406525277</v>
      </c>
      <c r="N46" s="6"/>
      <c r="O46" s="2" t="s">
        <v>52</v>
      </c>
      <c r="P46" s="26">
        <f>P24/I22</f>
        <v>1.2276681164268985</v>
      </c>
      <c r="Q46" s="26">
        <f>Q24/J22</f>
        <v>2.2357112279507811</v>
      </c>
      <c r="R46" s="26">
        <f>R24/K22</f>
        <v>0.68652406716940928</v>
      </c>
      <c r="S46" s="26">
        <f>S24/L22</f>
        <v>1.0505344423870127</v>
      </c>
      <c r="T46" s="26">
        <f>T24/M22</f>
        <v>1.6744593172497222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0.6593115744227992</v>
      </c>
      <c r="Q47" s="26">
        <f>Q24/(C22-C20)</f>
        <v>1.5356429298450636</v>
      </c>
      <c r="R47" s="26">
        <f>R24/(D22-D20)</f>
        <v>0.60610835650229766</v>
      </c>
      <c r="S47" s="26">
        <f>S24/(E22-E20)</f>
        <v>0.89498284769925462</v>
      </c>
      <c r="T47" s="26">
        <f>T24/(F22-F20)</f>
        <v>1.5321496386821574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>
        <f>P24/I25</f>
        <v>3.1802333333333332</v>
      </c>
      <c r="Q48" s="26">
        <f>Q24/J25</f>
        <v>6.7893333333333334</v>
      </c>
      <c r="R48" s="26">
        <f>R24/K25</f>
        <v>2.4489000000000001</v>
      </c>
      <c r="S48" s="26">
        <f>S24/L25</f>
        <v>4.2890800000000002</v>
      </c>
      <c r="T48" s="26">
        <f>T24/M25</f>
        <v>3.4050799999999999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0.94891737863401726</v>
      </c>
      <c r="Q49" s="26">
        <f>Q24/(Q18*-1)</f>
        <v>1.5552721802674079</v>
      </c>
      <c r="R49" s="26">
        <f>R24/(R18*-1)</f>
        <v>1.5871716211545108</v>
      </c>
      <c r="S49" s="26">
        <f>S24/(S18*-1)</f>
        <v>1.476122300078468</v>
      </c>
      <c r="T49" s="26">
        <f>T24/(T18*-1)</f>
        <v>1.9083990001457187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-2.7812770532010304E-2</v>
      </c>
      <c r="J50" s="28">
        <f>LN(J13/K13)</f>
        <v>-7.8505212566014587E-2</v>
      </c>
      <c r="K50" s="28">
        <f>LN(K13/L13)</f>
        <v>-4.4415316116868638E-3</v>
      </c>
      <c r="L50" s="28">
        <f>LN(L13/M13)</f>
        <v>1.7892404788087582E-2</v>
      </c>
      <c r="O50" s="2"/>
      <c r="P50" s="12"/>
      <c r="Q50" s="12"/>
      <c r="R50" s="12"/>
    </row>
    <row r="51" spans="1:29">
      <c r="A51" s="29" t="s">
        <v>57</v>
      </c>
      <c r="B51" s="30">
        <f>B11/B17</f>
        <v>1.3380039692748722</v>
      </c>
      <c r="C51" s="30">
        <f>C11/C17</f>
        <v>2.8404964902896195</v>
      </c>
      <c r="D51" s="30">
        <f>D11/D17</f>
        <v>3.8291119678558068</v>
      </c>
      <c r="E51" s="30">
        <f>E11/E17</f>
        <v>1.9006319915440852</v>
      </c>
      <c r="F51" s="30">
        <f>F11/F17</f>
        <v>2.1548795819261963</v>
      </c>
      <c r="H51" s="29" t="s">
        <v>58</v>
      </c>
      <c r="I51" s="63">
        <f>I13/I11</f>
        <v>0.35912953596818609</v>
      </c>
      <c r="J51" s="63">
        <f>J13/J11</f>
        <v>0.38052543277870082</v>
      </c>
      <c r="K51" s="63">
        <f>K13/K11</f>
        <v>0.43350993982438313</v>
      </c>
      <c r="L51" s="63">
        <f>L13/L11</f>
        <v>0.44733469602015291</v>
      </c>
      <c r="M51" s="63">
        <f>M13/M11</f>
        <v>0.43488217520904865</v>
      </c>
      <c r="O51" s="2" t="s">
        <v>59</v>
      </c>
      <c r="P51" s="32">
        <f>(P11-P24-P25)/B16</f>
        <v>6.1128119433757955E-2</v>
      </c>
      <c r="Q51" s="32">
        <f>(Q11-Q24-Q25)/C16</f>
        <v>7.9126489814775755E-2</v>
      </c>
      <c r="R51" s="32">
        <f>(R11-R24-R25)/D16</f>
        <v>7.4380605511795289E-2</v>
      </c>
      <c r="S51" s="32">
        <f>(S11-S24-S25)/E16</f>
        <v>9.5547689037433478E-2</v>
      </c>
      <c r="T51" s="32">
        <f>(T11-T24-T25)/F16</f>
        <v>3.7530734336992964E-2</v>
      </c>
    </row>
    <row r="52" spans="1:29">
      <c r="A52" s="29" t="s">
        <v>60</v>
      </c>
      <c r="B52" s="31">
        <f>I20/B16</f>
        <v>8.4036355549458888E-2</v>
      </c>
      <c r="C52" s="31">
        <f>J20/C16</f>
        <v>9.9084322770306904E-2</v>
      </c>
      <c r="D52" s="31">
        <f>K20/D16</f>
        <v>0.12378346106298592</v>
      </c>
      <c r="E52" s="31">
        <f>L20/E16</f>
        <v>0.1310678249240092</v>
      </c>
      <c r="F52" s="31">
        <f>M20/F16</f>
        <v>0.14202090592334496</v>
      </c>
      <c r="G52" s="31"/>
      <c r="H52" s="29" t="s">
        <v>61</v>
      </c>
      <c r="I52" s="63">
        <f>I16/I11</f>
        <v>0.15376725028997057</v>
      </c>
      <c r="J52" s="63">
        <f>J16/J11</f>
        <v>0.13696053426859248</v>
      </c>
      <c r="K52" s="63">
        <f>K16/K11</f>
        <v>0.13674823298354591</v>
      </c>
      <c r="L52" s="63">
        <f>L16/L11</f>
        <v>0.16684799981231285</v>
      </c>
      <c r="M52" s="63">
        <f>M16/M11</f>
        <v>0.14046677134821514</v>
      </c>
      <c r="O52" s="6"/>
    </row>
    <row r="53" spans="1:29">
      <c r="A53" s="29" t="s">
        <v>62</v>
      </c>
      <c r="B53" s="31">
        <f>I20/B20</f>
        <v>9.8910548004016802E-2</v>
      </c>
      <c r="C53" s="31">
        <f>J20/C20</f>
        <v>0.11474427261699638</v>
      </c>
      <c r="D53" s="31">
        <f>K20/D20</f>
        <v>0.14302144731898897</v>
      </c>
      <c r="E53" s="31">
        <f>L20/E20</f>
        <v>0.15351051453627138</v>
      </c>
      <c r="F53" s="31">
        <f>M20/F20</f>
        <v>0.16632149164881765</v>
      </c>
      <c r="H53" s="29" t="s">
        <v>11</v>
      </c>
      <c r="I53" s="63">
        <f>I17/I11</f>
        <v>0</v>
      </c>
      <c r="J53" s="63">
        <f>J17/J11</f>
        <v>0</v>
      </c>
      <c r="K53" s="63">
        <f>K17/K11</f>
        <v>0</v>
      </c>
      <c r="L53" s="63">
        <f>L17/L11</f>
        <v>0</v>
      </c>
      <c r="M53" s="63">
        <f>M17/M11</f>
        <v>0</v>
      </c>
      <c r="O53" s="6"/>
    </row>
    <row r="54" spans="1:29">
      <c r="A54" s="29" t="s">
        <v>63</v>
      </c>
      <c r="B54" s="30">
        <f>I11/B12</f>
        <v>2.5769679142210355</v>
      </c>
      <c r="C54" s="30">
        <f>J11/C12</f>
        <v>3.3151203119665031</v>
      </c>
      <c r="D54" s="30">
        <f>K11/D12</f>
        <v>2.3102968429522055</v>
      </c>
      <c r="E54" s="30">
        <f>L11/E12</f>
        <v>2.5210560558340358</v>
      </c>
      <c r="F54" s="30">
        <f>M11/F12</f>
        <v>2.9860291377412618</v>
      </c>
      <c r="H54" s="29" t="s">
        <v>64</v>
      </c>
      <c r="I54" s="63">
        <f>I25/I22</f>
        <v>0.38603083099570218</v>
      </c>
      <c r="J54" s="63">
        <f>J25/J22</f>
        <v>0.32929760820170578</v>
      </c>
      <c r="K54" s="63">
        <f>K25/K22</f>
        <v>0.28033977180342573</v>
      </c>
      <c r="L54" s="63">
        <f>L25/L22</f>
        <v>0.24493234968501701</v>
      </c>
      <c r="M54" s="63">
        <f>M25/M22</f>
        <v>0.49175329720585775</v>
      </c>
      <c r="O54" s="6"/>
    </row>
    <row r="55" spans="1:29">
      <c r="A55" s="29" t="s">
        <v>65</v>
      </c>
      <c r="B55" s="31">
        <f>(B22-B20)/B16</f>
        <v>0.15038024512768713</v>
      </c>
      <c r="C55" s="31">
        <f>(C22-C20)/C16</f>
        <v>0.13647696298499046</v>
      </c>
      <c r="D55" s="31">
        <f>(D22-D20)/D16</f>
        <v>0.13451119826172261</v>
      </c>
      <c r="E55" s="31">
        <f>(E22-E20)/E16</f>
        <v>0.14619643273333846</v>
      </c>
      <c r="F55" s="31">
        <f>(F22-F20)/F16</f>
        <v>0.14610610742226021</v>
      </c>
      <c r="H55" s="29" t="s">
        <v>66</v>
      </c>
      <c r="I55" s="63">
        <f>I22/I11</f>
        <v>0.2043970321742401</v>
      </c>
      <c r="J55" s="63">
        <f>J22/J11</f>
        <v>0.24692304981935367</v>
      </c>
      <c r="K55" s="63">
        <f>K22/K11</f>
        <v>0.30548260388001414</v>
      </c>
      <c r="L55" s="63">
        <f>L22/L11</f>
        <v>0.29932872522309845</v>
      </c>
      <c r="M55" s="63">
        <f>M22/M11</f>
        <v>0.29511199087471013</v>
      </c>
      <c r="N55" s="31"/>
      <c r="O55" s="6"/>
    </row>
    <row r="56" spans="1:29">
      <c r="A56" s="29" t="s">
        <v>67</v>
      </c>
      <c r="B56" s="31">
        <f>(B22-B20)/B20</f>
        <v>0.17699711460956716</v>
      </c>
      <c r="C56" s="31">
        <f>(C22-C20)/C20</f>
        <v>0.15804669607513697</v>
      </c>
      <c r="D56" s="31">
        <f>(D22-D20)/D20</f>
        <v>0.15541645136432233</v>
      </c>
      <c r="E56" s="31">
        <f>(E22-E20)/E20</f>
        <v>0.1712295876220884</v>
      </c>
      <c r="F56" s="31">
        <f>(F22-F20)/F20</f>
        <v>0.17110569438691528</v>
      </c>
      <c r="H56" s="33" t="s">
        <v>68</v>
      </c>
      <c r="I56" s="34">
        <f>I13/B16</f>
        <v>0.14189825351199348</v>
      </c>
      <c r="J56" s="34">
        <f>J13/C16</f>
        <v>0.14446277147993156</v>
      </c>
      <c r="K56" s="34">
        <f>K13/D16</f>
        <v>0.16852546048148864</v>
      </c>
      <c r="L56" s="34">
        <f>L13/E16</f>
        <v>0.18613385852713887</v>
      </c>
      <c r="M56" s="34">
        <f>M13/F16</f>
        <v>0.19700611399644993</v>
      </c>
      <c r="O56" s="6"/>
    </row>
    <row r="57" spans="1:29">
      <c r="A57" s="29" t="s">
        <v>69</v>
      </c>
      <c r="B57" s="30">
        <f>I11/B16</f>
        <v>0.39511719115345523</v>
      </c>
      <c r="C57" s="30">
        <f>J11/C16</f>
        <v>0.37964025275531488</v>
      </c>
      <c r="D57" s="30">
        <f>K11/D16</f>
        <v>0.38874647384039007</v>
      </c>
      <c r="E57" s="30">
        <f>L11/E16</f>
        <v>0.41609528655642963</v>
      </c>
      <c r="F57" s="30">
        <f>M11/F16</f>
        <v>0.45301032147787784</v>
      </c>
      <c r="H57" s="33" t="s">
        <v>70</v>
      </c>
      <c r="I57" s="35">
        <f ca="1">I25/$C$5</f>
        <v>41.528814075499383</v>
      </c>
      <c r="J57" s="35">
        <f ca="1">J25/$C$5</f>
        <v>41.528814075499383</v>
      </c>
      <c r="K57" s="35">
        <f ca="1">K25/$C$5</f>
        <v>41.528814075499383</v>
      </c>
      <c r="L57" s="35">
        <f ca="1">L25/$C$5</f>
        <v>34.607345062916153</v>
      </c>
      <c r="M57" s="35">
        <f ca="1">M25/$C$5</f>
        <v>69.214690125832306</v>
      </c>
      <c r="O57" s="6"/>
    </row>
    <row r="58" spans="1:29">
      <c r="A58" s="29" t="s">
        <v>71</v>
      </c>
      <c r="B58" s="30">
        <f>B16/B20</f>
        <v>1.1769971146095672</v>
      </c>
      <c r="C58" s="30">
        <f>C16/C20</f>
        <v>1.158046696075137</v>
      </c>
      <c r="D58" s="30">
        <f>D16/D20</f>
        <v>1.1554164513643224</v>
      </c>
      <c r="E58" s="30">
        <f>E16/E20</f>
        <v>1.1712295876220884</v>
      </c>
      <c r="F58" s="30">
        <f>F16/F20</f>
        <v>1.1711056943869154</v>
      </c>
      <c r="H58" s="36" t="s">
        <v>72</v>
      </c>
      <c r="I58" s="37">
        <f ca="1">I22/$C$7/1000</f>
        <v>2.592661959970239</v>
      </c>
      <c r="J58" s="37">
        <f ca="1">J22/$C$7/1000</f>
        <v>3.0393401773061308</v>
      </c>
      <c r="K58" s="37">
        <f ca="1">K22/$C$7/1000</f>
        <v>3.5701229420991734</v>
      </c>
      <c r="L58" s="37">
        <f ca="1">L22/$C$7/1000</f>
        <v>3.4051832821911407</v>
      </c>
      <c r="M58" s="37">
        <f ca="1">M22/$C$7/1000</f>
        <v>3.3921055421660697</v>
      </c>
      <c r="O58" s="6"/>
    </row>
    <row r="59" spans="1:29">
      <c r="H59" s="36" t="s">
        <v>73</v>
      </c>
      <c r="I59" s="37">
        <f ca="1">B20/$C$7/1000</f>
        <v>27.275328262951181</v>
      </c>
      <c r="J59" s="37">
        <f ca="1">C20/$C$7/1000</f>
        <v>27.997506421937668</v>
      </c>
      <c r="K59" s="37">
        <f ca="1">D20/$C$7/1000</f>
        <v>26.019064542583688</v>
      </c>
      <c r="L59" s="37">
        <f ca="1">E20/$C$7/1000</f>
        <v>23.343031989953626</v>
      </c>
      <c r="M59" s="37">
        <f ca="1">F20/$C$7/1000</f>
        <v>21.665978639646813</v>
      </c>
      <c r="N59" s="65"/>
      <c r="O59" s="6"/>
    </row>
    <row r="60" spans="1:29">
      <c r="H60" s="33" t="s">
        <v>74</v>
      </c>
      <c r="I60" s="38">
        <f ca="1">SQRT(22.5*I58*I59)</f>
        <v>39.888637301162973</v>
      </c>
      <c r="J60" s="38">
        <f ca="1">SQRT(22.5*J58*J59)</f>
        <v>43.756299980495214</v>
      </c>
      <c r="K60" s="38">
        <f ca="1">SQRT(22.5*K58*K59)</f>
        <v>45.717101102840459</v>
      </c>
      <c r="L60" s="38">
        <f ca="1">SQRT(22.5*L58*L59)</f>
        <v>42.290238843927916</v>
      </c>
      <c r="M60" s="38">
        <f ca="1">SQRT(22.5*M58*M59)</f>
        <v>40.66446778146674</v>
      </c>
      <c r="O60" s="6"/>
    </row>
    <row r="61" spans="1:29">
      <c r="H61" s="33" t="s">
        <v>75</v>
      </c>
      <c r="I61" s="39">
        <f ca="1">I58-(B20*0.08/1000/$C$7)</f>
        <v>0.41063569893414442</v>
      </c>
      <c r="J61" s="39">
        <f ca="1">J58-(C20*0.08/1000/$C$7)</f>
        <v>0.79953966355111739</v>
      </c>
      <c r="K61" s="39">
        <f ca="1">K58-(D20*0.08/1000/$C$7)</f>
        <v>1.488597778692478</v>
      </c>
      <c r="L61" s="39">
        <f ca="1">L58-(E20*0.08/1000/$C$7)</f>
        <v>1.5377407229948505</v>
      </c>
      <c r="M61" s="39">
        <f ca="1">M58-(F20*0.08/1000/$C$7)</f>
        <v>1.6588272509943249</v>
      </c>
      <c r="O61" s="6"/>
    </row>
    <row r="62" spans="1:29">
      <c r="H62" s="40" t="s">
        <v>76</v>
      </c>
      <c r="I62" s="41">
        <f ca="1">I25/B7/1000</f>
        <v>1.0008474508982572</v>
      </c>
      <c r="J62" s="41">
        <f ca="1">J25/C7/1000</f>
        <v>1.0008474508982572</v>
      </c>
      <c r="K62" s="41">
        <f ca="1">K25/C7/1000</f>
        <v>1.0008474508982572</v>
      </c>
      <c r="L62" s="41">
        <v>5.8</v>
      </c>
      <c r="M62" s="41">
        <v>5.17</v>
      </c>
      <c r="O62" s="6"/>
    </row>
    <row r="63" spans="1:29">
      <c r="A63" s="2"/>
      <c r="H63" s="6"/>
      <c r="O63" s="6"/>
    </row>
    <row r="64" spans="1:29">
      <c r="H64" s="6"/>
      <c r="O64" s="6"/>
    </row>
    <row r="65" spans="8:15">
      <c r="H65" s="6"/>
      <c r="O65" s="6"/>
    </row>
    <row r="66" spans="8:15">
      <c r="H66" s="6"/>
      <c r="O66" s="6"/>
    </row>
    <row r="67" spans="8:15">
      <c r="H67" s="6"/>
      <c r="O67" s="6"/>
    </row>
    <row r="68" spans="8:15">
      <c r="H68" s="6"/>
      <c r="O68" s="6"/>
    </row>
    <row r="69" spans="8:15">
      <c r="H69" s="6"/>
      <c r="O69" s="6"/>
    </row>
    <row r="70" spans="8:15">
      <c r="H70" s="6"/>
      <c r="O70" s="6"/>
    </row>
    <row r="71" spans="8:15">
      <c r="H71" s="6"/>
      <c r="O71" s="6"/>
    </row>
    <row r="72" spans="8:15">
      <c r="H72" s="6"/>
      <c r="O72" s="6"/>
    </row>
    <row r="73" spans="8:15">
      <c r="H73" s="6"/>
      <c r="O73" s="6"/>
    </row>
    <row r="74" spans="8:15">
      <c r="H74" s="2" t="s">
        <v>86</v>
      </c>
      <c r="I74" s="6"/>
      <c r="J74" s="6">
        <f ca="1">J59*$C$7/$C$5</f>
        <v>1.1617187391852046</v>
      </c>
      <c r="K74" s="6">
        <f ca="1">K59*$C$7/$C$5</f>
        <v>1.07962596381456</v>
      </c>
      <c r="L74" s="6">
        <f ca="1">L59*$C$7/$C$5</f>
        <v>0.96858760503329222</v>
      </c>
      <c r="M74" s="6">
        <f ca="1">M59*$C$7/$C$5</f>
        <v>0.89900053987458317</v>
      </c>
      <c r="O74" s="6"/>
    </row>
    <row r="75" spans="8:15">
      <c r="H75" s="2" t="s">
        <v>87</v>
      </c>
      <c r="O75" s="6"/>
    </row>
    <row r="76" spans="8:15">
      <c r="H76" s="2" t="s">
        <v>88</v>
      </c>
      <c r="O76" s="6"/>
    </row>
    <row r="77" spans="8:15">
      <c r="H77" s="2" t="s">
        <v>89</v>
      </c>
      <c r="I77" s="28"/>
      <c r="J77" s="28">
        <f ca="1">(J15-J16)/$C$6</f>
        <v>0.11743593433490369</v>
      </c>
      <c r="K77" s="28">
        <f ca="1">(K15-K16)/$C$6</f>
        <v>0.13603275205828441</v>
      </c>
      <c r="L77" s="28">
        <f ca="1">(L15-L16)/$C$6</f>
        <v>0.13099237907312261</v>
      </c>
      <c r="M77" s="28">
        <f ca="1">(M15-M16)/$C$6</f>
        <v>0.1377913336804967</v>
      </c>
      <c r="O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6" width="15.140625"/>
    <col min="7" max="7" width="22.5703125"/>
    <col min="8" max="12" width="15.140625"/>
    <col min="13" max="13" width="23.140625"/>
    <col min="14" max="26" width="15.140625"/>
    <col min="27" max="1025" width="14.42578125"/>
  </cols>
  <sheetData>
    <row r="1" spans="1:17">
      <c r="A1" s="2"/>
      <c r="G1" s="6"/>
      <c r="M1" s="6"/>
    </row>
    <row r="2" spans="1:17">
      <c r="A2" s="2"/>
      <c r="G2" s="6"/>
      <c r="M2" s="6"/>
    </row>
    <row r="3" spans="1:17">
      <c r="A3" s="2"/>
      <c r="G3" s="6"/>
      <c r="M3" s="6"/>
    </row>
    <row r="4" spans="1:17">
      <c r="A4" s="2"/>
      <c r="G4" s="6"/>
      <c r="M4" s="6"/>
    </row>
    <row r="5" spans="1:17">
      <c r="A5" s="2" t="s">
        <v>0</v>
      </c>
      <c r="B5" s="75">
        <v>4476</v>
      </c>
      <c r="G5" s="6"/>
      <c r="M5" s="6"/>
    </row>
    <row r="6" spans="1:17">
      <c r="A6" s="2" t="s">
        <v>1</v>
      </c>
      <c r="B6" s="4">
        <f>B5*1000+(B22-B20)-N23</f>
        <v>5317293</v>
      </c>
      <c r="G6" s="6"/>
      <c r="M6" s="6"/>
    </row>
    <row r="7" spans="1:17">
      <c r="A7" s="2" t="s">
        <v>2</v>
      </c>
      <c r="B7" s="62">
        <v>120</v>
      </c>
      <c r="G7" s="6"/>
      <c r="M7" s="6"/>
    </row>
    <row r="8" spans="1:17">
      <c r="G8" s="6"/>
      <c r="M8" s="6"/>
    </row>
    <row r="9" spans="1:17">
      <c r="G9" s="6"/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1622408</v>
      </c>
      <c r="C11" s="56">
        <v>1202545</v>
      </c>
      <c r="D11" s="56">
        <v>1021605</v>
      </c>
      <c r="E11" s="56">
        <v>966603</v>
      </c>
      <c r="G11" s="25" t="s">
        <v>7</v>
      </c>
      <c r="H11" s="56">
        <v>1705051</v>
      </c>
      <c r="I11" s="56">
        <v>1470186</v>
      </c>
      <c r="J11" s="56">
        <v>1296623</v>
      </c>
      <c r="K11" s="56">
        <v>1183150</v>
      </c>
      <c r="M11" s="25" t="s">
        <v>8</v>
      </c>
      <c r="N11" s="56">
        <v>357054</v>
      </c>
      <c r="O11" s="56">
        <v>316853</v>
      </c>
      <c r="P11" s="56">
        <v>266821</v>
      </c>
      <c r="Q11" s="56">
        <v>232633</v>
      </c>
    </row>
    <row r="12" spans="1:17">
      <c r="A12" s="25" t="s">
        <v>9</v>
      </c>
      <c r="B12" s="56">
        <v>366846</v>
      </c>
      <c r="C12" s="56">
        <v>287945</v>
      </c>
      <c r="D12" s="56">
        <v>305602</v>
      </c>
      <c r="E12" s="56">
        <v>283454</v>
      </c>
      <c r="G12" s="25" t="s">
        <v>10</v>
      </c>
      <c r="H12" s="56">
        <v>872948</v>
      </c>
      <c r="I12" s="56">
        <v>675649</v>
      </c>
      <c r="J12" s="56">
        <v>595100</v>
      </c>
      <c r="K12" s="56">
        <v>564589</v>
      </c>
      <c r="M12" s="25" t="s">
        <v>11</v>
      </c>
      <c r="N12" s="56">
        <v>25290</v>
      </c>
      <c r="O12" s="56">
        <v>24938</v>
      </c>
      <c r="P12" s="56">
        <v>30924</v>
      </c>
      <c r="Q12" s="56">
        <v>30413</v>
      </c>
    </row>
    <row r="13" spans="1:17">
      <c r="A13" s="25" t="s">
        <v>12</v>
      </c>
      <c r="B13" s="56">
        <v>1259775</v>
      </c>
      <c r="C13" s="56">
        <v>2352647</v>
      </c>
      <c r="D13" s="56">
        <v>2774919</v>
      </c>
      <c r="E13" s="56">
        <v>2148028</v>
      </c>
      <c r="G13" s="25" t="s">
        <v>13</v>
      </c>
      <c r="H13" s="56">
        <v>832103</v>
      </c>
      <c r="I13" s="56">
        <v>794537</v>
      </c>
      <c r="J13" s="56">
        <v>701523</v>
      </c>
      <c r="K13" s="56">
        <v>618561</v>
      </c>
      <c r="M13" s="25" t="s">
        <v>14</v>
      </c>
      <c r="N13" s="58">
        <v>-265275</v>
      </c>
      <c r="O13" s="58">
        <v>-143279</v>
      </c>
      <c r="P13" s="58">
        <v>-63609</v>
      </c>
      <c r="Q13" s="58">
        <v>-37961</v>
      </c>
    </row>
    <row r="14" spans="1:17">
      <c r="A14" s="25" t="s">
        <v>15</v>
      </c>
      <c r="B14" s="56">
        <v>504809</v>
      </c>
      <c r="C14" s="56">
        <v>304690</v>
      </c>
      <c r="D14" s="56">
        <v>264021</v>
      </c>
      <c r="E14" s="56">
        <v>239254</v>
      </c>
      <c r="G14" s="25" t="s">
        <v>16</v>
      </c>
      <c r="H14" s="56">
        <v>116893</v>
      </c>
      <c r="I14" s="56">
        <v>99982</v>
      </c>
      <c r="J14" s="56">
        <v>90902</v>
      </c>
      <c r="K14" s="56">
        <v>61754</v>
      </c>
      <c r="M14" s="25" t="s">
        <v>9</v>
      </c>
      <c r="N14" s="58">
        <v>-79220</v>
      </c>
      <c r="O14" s="56">
        <v>21336</v>
      </c>
      <c r="P14" s="58">
        <v>-22148</v>
      </c>
      <c r="Q14" s="58">
        <v>-62388</v>
      </c>
    </row>
    <row r="15" spans="1:17">
      <c r="A15" s="25" t="s">
        <v>17</v>
      </c>
      <c r="B15" s="56">
        <v>70602</v>
      </c>
      <c r="C15" s="56">
        <v>8253</v>
      </c>
      <c r="D15" s="56">
        <v>3247</v>
      </c>
      <c r="E15" s="56">
        <v>11354</v>
      </c>
      <c r="G15" s="25" t="s">
        <v>18</v>
      </c>
      <c r="H15" s="56">
        <v>948996</v>
      </c>
      <c r="I15" s="56">
        <v>894519</v>
      </c>
      <c r="J15" s="56">
        <v>792425</v>
      </c>
      <c r="K15" s="56">
        <v>680315</v>
      </c>
      <c r="M15" s="25" t="s">
        <v>19</v>
      </c>
      <c r="N15" s="58">
        <v>-33767</v>
      </c>
      <c r="O15" s="58">
        <v>-44984</v>
      </c>
      <c r="P15" s="58">
        <v>-20542</v>
      </c>
      <c r="Q15" s="56">
        <v>1396</v>
      </c>
    </row>
    <row r="16" spans="1:17">
      <c r="A16" s="25" t="s">
        <v>20</v>
      </c>
      <c r="B16" s="56">
        <v>3824440</v>
      </c>
      <c r="C16" s="56">
        <v>4156080</v>
      </c>
      <c r="D16" s="56">
        <v>4369394</v>
      </c>
      <c r="E16" s="56">
        <v>3648693</v>
      </c>
      <c r="G16" s="25" t="s">
        <v>21</v>
      </c>
      <c r="H16" s="56">
        <v>563770</v>
      </c>
      <c r="I16" s="56">
        <v>527655</v>
      </c>
      <c r="J16" s="56">
        <v>487015</v>
      </c>
      <c r="K16" s="56">
        <v>410882</v>
      </c>
      <c r="M16" s="25" t="s">
        <v>22</v>
      </c>
      <c r="N16" s="56">
        <v>89196</v>
      </c>
      <c r="O16" s="56">
        <v>21763</v>
      </c>
      <c r="P16" s="58">
        <v>-19899</v>
      </c>
      <c r="Q16" s="56">
        <v>13175</v>
      </c>
    </row>
    <row r="17" spans="1:26">
      <c r="A17" s="25" t="s">
        <v>23</v>
      </c>
      <c r="B17" s="56">
        <v>883817</v>
      </c>
      <c r="C17" s="56">
        <v>468080</v>
      </c>
      <c r="D17" s="56">
        <v>463726</v>
      </c>
      <c r="E17" s="56">
        <v>426352</v>
      </c>
      <c r="G17" s="25" t="s">
        <v>11</v>
      </c>
      <c r="H17" s="56">
        <v>6299</v>
      </c>
      <c r="I17" s="56">
        <v>24938</v>
      </c>
      <c r="J17" s="56">
        <v>7578</v>
      </c>
      <c r="K17" s="56">
        <v>7324</v>
      </c>
      <c r="M17" s="25" t="s">
        <v>24</v>
      </c>
      <c r="N17" s="58">
        <v>-131747</v>
      </c>
      <c r="O17" s="58">
        <v>-153388</v>
      </c>
      <c r="P17" s="58">
        <v>-13798</v>
      </c>
      <c r="Q17" s="58">
        <v>-29684</v>
      </c>
    </row>
    <row r="18" spans="1:26">
      <c r="A18" s="25" t="s">
        <v>25</v>
      </c>
      <c r="B18" s="56">
        <v>213167</v>
      </c>
      <c r="C18" s="56">
        <v>194857</v>
      </c>
      <c r="D18" s="56">
        <v>179754</v>
      </c>
      <c r="E18" s="56">
        <v>163563</v>
      </c>
      <c r="G18" s="25" t="s">
        <v>26</v>
      </c>
      <c r="H18" s="56">
        <v>21873</v>
      </c>
      <c r="I18" s="56">
        <v>25073</v>
      </c>
      <c r="J18" s="56">
        <v>31011</v>
      </c>
      <c r="K18" s="56">
        <v>29476</v>
      </c>
      <c r="M18" s="25" t="s">
        <v>27</v>
      </c>
      <c r="N18" s="58">
        <v>-224719</v>
      </c>
      <c r="O18" s="58">
        <v>-46919</v>
      </c>
      <c r="P18" s="58">
        <v>-47473</v>
      </c>
      <c r="Q18" s="58">
        <v>-44858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591942</v>
      </c>
      <c r="I19" s="56">
        <v>577666</v>
      </c>
      <c r="J19" s="56">
        <v>525604</v>
      </c>
      <c r="K19" s="56">
        <v>447682</v>
      </c>
      <c r="M19" s="25" t="s">
        <v>30</v>
      </c>
      <c r="N19" s="56">
        <v>229162</v>
      </c>
      <c r="O19" s="56">
        <v>69951</v>
      </c>
      <c r="P19" s="58">
        <v>-13297</v>
      </c>
      <c r="Q19" s="58">
        <v>-105889</v>
      </c>
    </row>
    <row r="20" spans="1:26">
      <c r="A20" s="25" t="s">
        <v>31</v>
      </c>
      <c r="B20" s="56">
        <v>2727456</v>
      </c>
      <c r="C20" s="56">
        <v>3493143</v>
      </c>
      <c r="D20" s="56">
        <v>3725914</v>
      </c>
      <c r="E20" s="56">
        <v>3058778</v>
      </c>
      <c r="G20" s="25" t="s">
        <v>32</v>
      </c>
      <c r="H20" s="56">
        <v>357054</v>
      </c>
      <c r="I20" s="56">
        <v>316853</v>
      </c>
      <c r="J20" s="56">
        <v>266821</v>
      </c>
      <c r="K20" s="56">
        <v>232633</v>
      </c>
      <c r="M20" s="25" t="s">
        <v>33</v>
      </c>
      <c r="N20" s="56">
        <v>281456</v>
      </c>
      <c r="O20" s="57"/>
      <c r="P20" s="57"/>
      <c r="Q20" s="56">
        <v>20000</v>
      </c>
    </row>
    <row r="21" spans="1:26">
      <c r="A21" s="25" t="s">
        <v>34</v>
      </c>
      <c r="B21" s="57"/>
      <c r="C21" s="57"/>
      <c r="D21" s="57"/>
      <c r="E21" s="59"/>
      <c r="G21" s="25" t="s">
        <v>35</v>
      </c>
      <c r="H21" s="57"/>
      <c r="I21" s="57"/>
      <c r="J21" s="57"/>
      <c r="K21" s="57"/>
      <c r="M21" s="25" t="s">
        <v>36</v>
      </c>
      <c r="N21" s="58">
        <v>-131318</v>
      </c>
      <c r="O21" s="58">
        <v>-60103</v>
      </c>
      <c r="P21" s="58">
        <v>-144375</v>
      </c>
      <c r="Q21" s="58">
        <v>-148336</v>
      </c>
    </row>
    <row r="22" spans="1:26">
      <c r="A22" s="25" t="s">
        <v>37</v>
      </c>
      <c r="B22" s="56">
        <v>3824440</v>
      </c>
      <c r="C22" s="56">
        <v>4156080</v>
      </c>
      <c r="D22" s="56">
        <v>4369394</v>
      </c>
      <c r="E22" s="56">
        <v>3648693</v>
      </c>
      <c r="G22" s="25" t="s">
        <v>8</v>
      </c>
      <c r="H22" s="56">
        <v>357054</v>
      </c>
      <c r="I22" s="56">
        <v>316853</v>
      </c>
      <c r="J22" s="56">
        <v>266821</v>
      </c>
      <c r="K22" s="56">
        <v>232633</v>
      </c>
      <c r="M22" s="25" t="s">
        <v>38</v>
      </c>
      <c r="N22" s="56">
        <v>139579</v>
      </c>
      <c r="O22" s="56">
        <v>133411</v>
      </c>
      <c r="P22" s="56">
        <v>166132</v>
      </c>
      <c r="Q22" s="56">
        <v>297631</v>
      </c>
    </row>
    <row r="23" spans="1:26">
      <c r="G23" s="25" t="s">
        <v>39</v>
      </c>
      <c r="H23" s="57"/>
      <c r="I23" s="57"/>
      <c r="J23" s="57"/>
      <c r="K23" s="56">
        <v>331706</v>
      </c>
      <c r="M23" s="25" t="s">
        <v>40</v>
      </c>
      <c r="N23" s="56">
        <v>255691</v>
      </c>
      <c r="O23" s="56">
        <v>139579</v>
      </c>
      <c r="P23" s="56">
        <v>118736</v>
      </c>
      <c r="Q23" s="56">
        <v>166132</v>
      </c>
    </row>
    <row r="24" spans="1:26">
      <c r="G24" s="25" t="s">
        <v>41</v>
      </c>
      <c r="H24" s="57"/>
      <c r="I24" s="57"/>
      <c r="J24" s="57"/>
      <c r="K24" s="56">
        <v>11632</v>
      </c>
      <c r="M24" s="2" t="s">
        <v>42</v>
      </c>
      <c r="N24" s="12">
        <f>SUM(N11:N17)</f>
        <v>-38469</v>
      </c>
      <c r="O24" s="12">
        <f>SUM(O11:O17)</f>
        <v>43239</v>
      </c>
      <c r="P24" s="12">
        <f>SUM(P11:P17)</f>
        <v>157749</v>
      </c>
      <c r="Q24" s="12">
        <f>SUM(Q11:Q17)</f>
        <v>147584</v>
      </c>
    </row>
    <row r="25" spans="1:26">
      <c r="G25" s="25" t="s">
        <v>43</v>
      </c>
      <c r="H25" s="57"/>
      <c r="I25" s="57"/>
      <c r="J25" s="57"/>
      <c r="K25" s="56">
        <v>150031</v>
      </c>
      <c r="M25" s="2" t="s">
        <v>44</v>
      </c>
      <c r="N25" s="12">
        <f>N18+N19</f>
        <v>4443</v>
      </c>
      <c r="O25" s="12">
        <f>O18+O19</f>
        <v>23032</v>
      </c>
      <c r="P25" s="12">
        <f>P18+P19</f>
        <v>-60770</v>
      </c>
      <c r="Q25" s="12">
        <f>Q18+Q19</f>
        <v>-150747</v>
      </c>
    </row>
    <row r="26" spans="1:26">
      <c r="G26" s="25" t="s">
        <v>45</v>
      </c>
      <c r="H26" s="57"/>
      <c r="I26" s="57"/>
      <c r="J26" s="57"/>
      <c r="K26" s="56">
        <v>33652</v>
      </c>
      <c r="M26" s="2" t="s">
        <v>46</v>
      </c>
      <c r="N26" s="12">
        <f>N20+N21</f>
        <v>150138</v>
      </c>
      <c r="O26" s="12">
        <f>O20+O21</f>
        <v>-60103</v>
      </c>
      <c r="P26" s="12">
        <f>P20+P21</f>
        <v>-144375</v>
      </c>
      <c r="Q26" s="12">
        <f>Q20+Q21</f>
        <v>-128336</v>
      </c>
    </row>
    <row r="27" spans="1:26">
      <c r="G27" s="25" t="s">
        <v>47</v>
      </c>
      <c r="H27" s="57"/>
      <c r="I27" s="57"/>
      <c r="J27" s="57"/>
      <c r="K27" s="56">
        <v>369024</v>
      </c>
      <c r="M27" s="2" t="s">
        <v>48</v>
      </c>
      <c r="N27" s="12">
        <f>N24+N25+N26</f>
        <v>116112</v>
      </c>
      <c r="O27" s="12">
        <f>O24+O25+O26</f>
        <v>6168</v>
      </c>
      <c r="P27" s="12">
        <f>P24+P25+P26</f>
        <v>-47396</v>
      </c>
      <c r="Q27" s="12">
        <f>Q24+Q25+Q26</f>
        <v>-131499</v>
      </c>
    </row>
    <row r="28" spans="1:26">
      <c r="G28" s="6"/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0.42422106243005514</v>
      </c>
      <c r="C30" s="24">
        <f t="shared" si="0"/>
        <v>0.2893459702411888</v>
      </c>
      <c r="D30" s="24">
        <f t="shared" si="0"/>
        <v>0.23380931085637963</v>
      </c>
      <c r="E30" s="24">
        <f t="shared" si="0"/>
        <v>0.26491760200159342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0.2094095719130982</v>
      </c>
      <c r="O30" s="26">
        <f t="shared" ref="O30:O42" si="3">O11/I$11</f>
        <v>0.21551898875380393</v>
      </c>
      <c r="P30" s="26">
        <f t="shared" ref="P30:P42" si="4">P11/J$11</f>
        <v>0.20578148004470073</v>
      </c>
      <c r="Q30" s="26">
        <f t="shared" ref="Q30:Q42" si="5">Q11/K$11</f>
        <v>0.1966217301272028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9.5921494388720968E-2</v>
      </c>
      <c r="C31" s="24">
        <f t="shared" si="0"/>
        <v>6.9282833824180476E-2</v>
      </c>
      <c r="D31" s="24">
        <f t="shared" si="0"/>
        <v>6.9941506762722705E-2</v>
      </c>
      <c r="E31" s="24">
        <f t="shared" si="0"/>
        <v>7.7686448270654726E-2</v>
      </c>
      <c r="F31" s="6"/>
      <c r="G31" s="25" t="s">
        <v>10</v>
      </c>
      <c r="H31" s="24">
        <f t="shared" si="1"/>
        <v>0.51197764758942699</v>
      </c>
      <c r="I31" s="24">
        <f t="shared" si="1"/>
        <v>0.45956702077152145</v>
      </c>
      <c r="J31" s="24">
        <f t="shared" si="1"/>
        <v>0.45896147145315175</v>
      </c>
      <c r="K31" s="24">
        <f t="shared" si="1"/>
        <v>0.47719139585006126</v>
      </c>
      <c r="L31" s="6"/>
      <c r="M31" s="25" t="s">
        <v>11</v>
      </c>
      <c r="N31" s="26">
        <f t="shared" si="2"/>
        <v>1.4832400907656135E-2</v>
      </c>
      <c r="O31" s="26">
        <f t="shared" si="3"/>
        <v>1.6962479577414015E-2</v>
      </c>
      <c r="P31" s="26">
        <f t="shared" si="4"/>
        <v>2.3849646350558334E-2</v>
      </c>
      <c r="Q31" s="26">
        <f t="shared" si="5"/>
        <v>2.5705109242276973E-2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0.32940116722971208</v>
      </c>
      <c r="C32" s="24">
        <f t="shared" si="0"/>
        <v>0.56607355970048701</v>
      </c>
      <c r="D32" s="24">
        <f t="shared" si="0"/>
        <v>0.6350809746157019</v>
      </c>
      <c r="E32" s="24">
        <f t="shared" si="0"/>
        <v>0.58871162906827179</v>
      </c>
      <c r="F32" s="6"/>
      <c r="G32" s="25" t="s">
        <v>13</v>
      </c>
      <c r="H32" s="24">
        <f t="shared" si="1"/>
        <v>0.48802235241057307</v>
      </c>
      <c r="I32" s="24">
        <f t="shared" si="1"/>
        <v>0.54043297922847855</v>
      </c>
      <c r="J32" s="24">
        <f t="shared" si="1"/>
        <v>0.5410385285468482</v>
      </c>
      <c r="K32" s="24">
        <f t="shared" si="1"/>
        <v>0.52280860414993868</v>
      </c>
      <c r="L32" s="6"/>
      <c r="M32" s="25" t="s">
        <v>14</v>
      </c>
      <c r="N32" s="26">
        <f t="shared" si="2"/>
        <v>-0.1555818564957881</v>
      </c>
      <c r="O32" s="26">
        <f t="shared" si="3"/>
        <v>-9.745637626803684E-2</v>
      </c>
      <c r="P32" s="26">
        <f t="shared" si="4"/>
        <v>-4.9057436124455608E-2</v>
      </c>
      <c r="Q32" s="26">
        <f t="shared" si="5"/>
        <v>-3.2084689177196465E-2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0.13199553398667518</v>
      </c>
      <c r="C33" s="24">
        <f t="shared" si="0"/>
        <v>7.331187080133203E-2</v>
      </c>
      <c r="D33" s="24">
        <f t="shared" si="0"/>
        <v>6.0425084119216529E-2</v>
      </c>
      <c r="E33" s="24">
        <f t="shared" si="0"/>
        <v>6.5572521448091142E-2</v>
      </c>
      <c r="F33" s="6"/>
      <c r="G33" s="25" t="s">
        <v>16</v>
      </c>
      <c r="H33" s="24">
        <f t="shared" si="1"/>
        <v>6.8556893606115013E-2</v>
      </c>
      <c r="I33" s="24">
        <f t="shared" si="1"/>
        <v>6.8006361099888044E-2</v>
      </c>
      <c r="J33" s="24">
        <f t="shared" si="1"/>
        <v>7.0106731100713165E-2</v>
      </c>
      <c r="K33" s="24">
        <f t="shared" si="1"/>
        <v>5.2194565355195878E-2</v>
      </c>
      <c r="L33" s="6"/>
      <c r="M33" s="25" t="s">
        <v>9</v>
      </c>
      <c r="N33" s="26">
        <f t="shared" si="2"/>
        <v>-4.6461953337466153E-2</v>
      </c>
      <c r="O33" s="26">
        <f t="shared" si="3"/>
        <v>1.4512449445172243E-2</v>
      </c>
      <c r="P33" s="26">
        <f t="shared" si="4"/>
        <v>-1.7081295025616543E-2</v>
      </c>
      <c r="Q33" s="26">
        <f t="shared" si="5"/>
        <v>-5.2730423023285296E-2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1.8460741964836682E-2</v>
      </c>
      <c r="C34" s="24">
        <f t="shared" si="0"/>
        <v>1.985765432811688E-3</v>
      </c>
      <c r="D34" s="24">
        <f t="shared" si="0"/>
        <v>7.4312364597928227E-4</v>
      </c>
      <c r="E34" s="24">
        <f t="shared" si="0"/>
        <v>3.1117992113888454E-3</v>
      </c>
      <c r="F34" s="6"/>
      <c r="G34" s="25" t="s">
        <v>18</v>
      </c>
      <c r="H34" s="24">
        <f t="shared" si="1"/>
        <v>0.55657924601668807</v>
      </c>
      <c r="I34" s="24">
        <f t="shared" si="1"/>
        <v>0.60843934032836666</v>
      </c>
      <c r="J34" s="24">
        <f t="shared" si="1"/>
        <v>0.61114525964756139</v>
      </c>
      <c r="K34" s="24">
        <f t="shared" si="1"/>
        <v>0.57500316950513464</v>
      </c>
      <c r="L34" s="6"/>
      <c r="M34" s="25" t="s">
        <v>19</v>
      </c>
      <c r="N34" s="26">
        <f t="shared" si="2"/>
        <v>-1.9804099701416555E-2</v>
      </c>
      <c r="O34" s="26">
        <f t="shared" si="3"/>
        <v>-3.0597489025198172E-2</v>
      </c>
      <c r="P34" s="26">
        <f t="shared" si="4"/>
        <v>-1.5842692903025785E-2</v>
      </c>
      <c r="Q34" s="26">
        <f t="shared" si="5"/>
        <v>1.1799011114398004E-3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0.33064700117474494</v>
      </c>
      <c r="I35" s="24">
        <f t="shared" si="1"/>
        <v>0.35890356730372891</v>
      </c>
      <c r="J35" s="24">
        <f t="shared" si="1"/>
        <v>0.37560262312175552</v>
      </c>
      <c r="K35" s="24">
        <f t="shared" si="1"/>
        <v>0.34727802899040694</v>
      </c>
      <c r="L35" s="6"/>
      <c r="M35" s="25" t="s">
        <v>22</v>
      </c>
      <c r="N35" s="26">
        <f t="shared" si="2"/>
        <v>5.2312804719624226E-2</v>
      </c>
      <c r="O35" s="26">
        <f t="shared" si="3"/>
        <v>1.4802888886168144E-2</v>
      </c>
      <c r="P35" s="26">
        <f t="shared" si="4"/>
        <v>-1.5346789313470454E-2</v>
      </c>
      <c r="Q35" s="26">
        <f t="shared" si="5"/>
        <v>1.1135528039555424E-2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0.23109710179791029</v>
      </c>
      <c r="C36" s="24">
        <f t="shared" si="0"/>
        <v>0.11262535851090451</v>
      </c>
      <c r="D36" s="24">
        <f t="shared" si="0"/>
        <v>0.10613050688493644</v>
      </c>
      <c r="E36" s="24">
        <f t="shared" si="0"/>
        <v>0.11685060924555725</v>
      </c>
      <c r="F36" s="6"/>
      <c r="G36" s="25" t="s">
        <v>11</v>
      </c>
      <c r="H36" s="24">
        <f t="shared" si="1"/>
        <v>3.6943176479765122E-3</v>
      </c>
      <c r="I36" s="24">
        <f t="shared" si="1"/>
        <v>1.6962479577414015E-2</v>
      </c>
      <c r="J36" s="24">
        <f t="shared" si="1"/>
        <v>5.8444127552881604E-3</v>
      </c>
      <c r="K36" s="24">
        <f t="shared" si="1"/>
        <v>6.1902548282128213E-3</v>
      </c>
      <c r="L36" s="6"/>
      <c r="M36" s="25" t="s">
        <v>24</v>
      </c>
      <c r="N36" s="26">
        <f t="shared" si="2"/>
        <v>-7.72686564800701E-2</v>
      </c>
      <c r="O36" s="26">
        <f t="shared" si="3"/>
        <v>-0.10433237699175478</v>
      </c>
      <c r="P36" s="26">
        <f t="shared" si="4"/>
        <v>-1.0641489469182638E-2</v>
      </c>
      <c r="Q36" s="26">
        <f t="shared" si="5"/>
        <v>-2.5088957444111059E-2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5.5738094989070293E-2</v>
      </c>
      <c r="C37" s="24">
        <f t="shared" si="0"/>
        <v>4.6884804912321228E-2</v>
      </c>
      <c r="D37" s="24">
        <f t="shared" si="0"/>
        <v>4.1139343350588206E-2</v>
      </c>
      <c r="E37" s="24">
        <f t="shared" si="0"/>
        <v>4.4827832870564882E-2</v>
      </c>
      <c r="F37" s="6"/>
      <c r="G37" s="25" t="s">
        <v>26</v>
      </c>
      <c r="H37" s="24">
        <f t="shared" si="1"/>
        <v>1.2828355280868432E-2</v>
      </c>
      <c r="I37" s="24">
        <f t="shared" si="1"/>
        <v>1.7054304693419745E-2</v>
      </c>
      <c r="J37" s="24">
        <f t="shared" si="1"/>
        <v>2.3916743725816987E-2</v>
      </c>
      <c r="K37" s="24">
        <f t="shared" si="1"/>
        <v>2.4913155559312006E-2</v>
      </c>
      <c r="L37" s="6"/>
      <c r="M37" s="25" t="s">
        <v>27</v>
      </c>
      <c r="N37" s="26">
        <f t="shared" si="2"/>
        <v>-0.13179605771322969</v>
      </c>
      <c r="O37" s="26">
        <f t="shared" si="3"/>
        <v>-3.1913649021280299E-2</v>
      </c>
      <c r="P37" s="26">
        <f t="shared" si="4"/>
        <v>-3.6612801099471473E-2</v>
      </c>
      <c r="Q37" s="26">
        <f t="shared" si="5"/>
        <v>-3.7914043020749695E-2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0.34716967410358984</v>
      </c>
      <c r="I38" s="24">
        <f t="shared" si="1"/>
        <v>0.39292035157456268</v>
      </c>
      <c r="J38" s="24">
        <f t="shared" si="1"/>
        <v>0.40536377960286069</v>
      </c>
      <c r="K38" s="24">
        <f t="shared" si="1"/>
        <v>0.37838143937793178</v>
      </c>
      <c r="L38" s="6"/>
      <c r="M38" s="25" t="s">
        <v>30</v>
      </c>
      <c r="N38" s="26">
        <f t="shared" si="2"/>
        <v>0.13440184487150239</v>
      </c>
      <c r="O38" s="26">
        <f t="shared" si="3"/>
        <v>4.7579693997902309E-2</v>
      </c>
      <c r="P38" s="26">
        <f t="shared" si="4"/>
        <v>-1.0255101135796604E-2</v>
      </c>
      <c r="Q38" s="26">
        <f t="shared" si="5"/>
        <v>-8.9497527785995012E-2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0.71316480321301945</v>
      </c>
      <c r="C39" s="24">
        <f t="shared" si="0"/>
        <v>0.84048983657677423</v>
      </c>
      <c r="D39" s="24">
        <f t="shared" si="0"/>
        <v>0.85273014976447536</v>
      </c>
      <c r="E39" s="24">
        <f t="shared" si="0"/>
        <v>0.83832155788387785</v>
      </c>
      <c r="F39" s="6"/>
      <c r="G39" s="25" t="s">
        <v>32</v>
      </c>
      <c r="H39" s="24">
        <f t="shared" si="1"/>
        <v>0.2094095719130982</v>
      </c>
      <c r="I39" s="24">
        <f t="shared" si="1"/>
        <v>0.21551898875380393</v>
      </c>
      <c r="J39" s="24">
        <f t="shared" si="1"/>
        <v>0.20578148004470073</v>
      </c>
      <c r="K39" s="24">
        <f t="shared" si="1"/>
        <v>0.1966217301272028</v>
      </c>
      <c r="L39" s="6"/>
      <c r="M39" s="25" t="s">
        <v>33</v>
      </c>
      <c r="N39" s="26">
        <f t="shared" si="2"/>
        <v>0.1650718952101726</v>
      </c>
      <c r="O39" s="26">
        <f t="shared" si="3"/>
        <v>0</v>
      </c>
      <c r="P39" s="26">
        <f t="shared" si="4"/>
        <v>0</v>
      </c>
      <c r="Q39" s="26">
        <f t="shared" si="5"/>
        <v>1.6904027384524362E-2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0</v>
      </c>
      <c r="I40" s="24">
        <f t="shared" si="1"/>
        <v>0</v>
      </c>
      <c r="J40" s="24">
        <f t="shared" si="1"/>
        <v>0</v>
      </c>
      <c r="K40" s="24">
        <f t="shared" si="1"/>
        <v>0</v>
      </c>
      <c r="L40" s="6"/>
      <c r="M40" s="25" t="s">
        <v>36</v>
      </c>
      <c r="N40" s="26">
        <f t="shared" si="2"/>
        <v>-7.7017051102870243E-2</v>
      </c>
      <c r="O40" s="26">
        <f t="shared" si="3"/>
        <v>-4.0881221831795433E-2</v>
      </c>
      <c r="P40" s="26">
        <f t="shared" si="4"/>
        <v>-0.11134693739043654</v>
      </c>
      <c r="Q40" s="26">
        <f t="shared" si="5"/>
        <v>-0.1253737903055403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0.2094095719130982</v>
      </c>
      <c r="I41" s="24">
        <f t="shared" si="1"/>
        <v>0.21551898875380393</v>
      </c>
      <c r="J41" s="24">
        <f t="shared" si="1"/>
        <v>0.20578148004470073</v>
      </c>
      <c r="K41" s="24">
        <f t="shared" si="1"/>
        <v>0.1966217301272028</v>
      </c>
      <c r="L41" s="6"/>
      <c r="M41" s="25" t="s">
        <v>38</v>
      </c>
      <c r="N41" s="26">
        <f t="shared" si="2"/>
        <v>8.1862067468949612E-2</v>
      </c>
      <c r="O41" s="26">
        <f t="shared" si="3"/>
        <v>9.0744300381040227E-2</v>
      </c>
      <c r="P41" s="26">
        <f t="shared" si="4"/>
        <v>0.12812667984448833</v>
      </c>
      <c r="Q41" s="26">
        <f t="shared" si="5"/>
        <v>0.25155812872416855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</v>
      </c>
      <c r="I42" s="24">
        <f t="shared" si="1"/>
        <v>0</v>
      </c>
      <c r="J42" s="24">
        <f t="shared" si="1"/>
        <v>0</v>
      </c>
      <c r="K42" s="24">
        <f t="shared" si="1"/>
        <v>0.28035836538055192</v>
      </c>
      <c r="L42" s="6"/>
      <c r="M42" s="25" t="s">
        <v>40</v>
      </c>
      <c r="N42" s="26">
        <f t="shared" si="2"/>
        <v>0.14996091026016231</v>
      </c>
      <c r="O42" s="26">
        <f t="shared" si="3"/>
        <v>9.4939687903435349E-2</v>
      </c>
      <c r="P42" s="26">
        <f t="shared" si="4"/>
        <v>9.1573263778291766E-2</v>
      </c>
      <c r="Q42" s="26">
        <f t="shared" si="5"/>
        <v>0.14041499387229006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0</v>
      </c>
      <c r="K43" s="24">
        <f t="shared" si="1"/>
        <v>9.8313823268393694E-3</v>
      </c>
      <c r="L43" s="6"/>
      <c r="M43" s="2" t="s">
        <v>49</v>
      </c>
      <c r="N43" s="26">
        <f>N24/H11</f>
        <v>-2.2561788474362351E-2</v>
      </c>
      <c r="O43" s="26">
        <f>O24/I11</f>
        <v>2.9410564377568553E-2</v>
      </c>
      <c r="P43" s="26">
        <f>P24/J11</f>
        <v>0.12166142355950804</v>
      </c>
      <c r="Q43" s="26">
        <f>Q24/K11</f>
        <v>0.12473819887588218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</v>
      </c>
      <c r="I44" s="24">
        <f t="shared" si="1"/>
        <v>0</v>
      </c>
      <c r="J44" s="24">
        <f t="shared" si="1"/>
        <v>0</v>
      </c>
      <c r="K44" s="24">
        <f t="shared" si="1"/>
        <v>0.12680640662637874</v>
      </c>
      <c r="L44" s="6"/>
      <c r="M44" s="2" t="s">
        <v>50</v>
      </c>
      <c r="N44" s="26">
        <f>N24/B16</f>
        <v>-1.005872755226909E-2</v>
      </c>
      <c r="O44" s="26">
        <f>O24/C16</f>
        <v>1.0403793959692787E-2</v>
      </c>
      <c r="P44" s="26">
        <f>P24/D16</f>
        <v>3.6103175863746784E-2</v>
      </c>
      <c r="Q44" s="26">
        <f>Q24/E16</f>
        <v>4.0448456474688331E-2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0</v>
      </c>
      <c r="J45" s="24">
        <f t="shared" si="1"/>
        <v>0</v>
      </c>
      <c r="K45" s="24">
        <f t="shared" si="1"/>
        <v>2.8442716477200692E-2</v>
      </c>
      <c r="L45" s="6"/>
      <c r="M45" s="2" t="s">
        <v>51</v>
      </c>
      <c r="N45" s="26">
        <f>N24/B20</f>
        <v>-1.4104352187532998E-2</v>
      </c>
      <c r="O45" s="26">
        <f>O24/C20</f>
        <v>1.2378250761563439E-2</v>
      </c>
      <c r="P45" s="26">
        <f>P24/D20</f>
        <v>4.233833631157348E-2</v>
      </c>
      <c r="Q45" s="26">
        <f>Q24/E20</f>
        <v>4.8249333557387954E-2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</v>
      </c>
      <c r="I46" s="24">
        <f t="shared" si="1"/>
        <v>0</v>
      </c>
      <c r="J46" s="24">
        <f t="shared" si="1"/>
        <v>0</v>
      </c>
      <c r="K46" s="24">
        <f t="shared" si="1"/>
        <v>0.31189959007733592</v>
      </c>
      <c r="L46" s="6"/>
      <c r="M46" s="2" t="s">
        <v>52</v>
      </c>
      <c r="N46" s="26">
        <f>N24/H22</f>
        <v>-0.1077400057134215</v>
      </c>
      <c r="O46" s="26">
        <f>O24/I22</f>
        <v>0.1364639122874014</v>
      </c>
      <c r="P46" s="26">
        <f>P24/J22</f>
        <v>0.59121658340235583</v>
      </c>
      <c r="Q46" s="26">
        <f>Q24/K22</f>
        <v>0.63440698439172427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-3.5067968174558609E-2</v>
      </c>
      <c r="O47" s="26">
        <f>O24/(C22-C20)</f>
        <v>6.5223392268043565E-2</v>
      </c>
      <c r="P47" s="26">
        <f>P24/(D22-D20)</f>
        <v>0.24514981040591782</v>
      </c>
      <c r="Q47" s="26">
        <f>Q24/(E22-E20)</f>
        <v>0.25017841553444142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>N24/H25</f>
        <v>#DIV/0!</v>
      </c>
      <c r="O48" s="26" t="e">
        <f>O24/I25</f>
        <v>#DIV/0!</v>
      </c>
      <c r="P48" s="26" t="e">
        <f>P24/J25</f>
        <v>#DIV/0!</v>
      </c>
      <c r="Q48" s="26">
        <f>Q24/K25</f>
        <v>0.98369003739227223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-0.17118712703420716</v>
      </c>
      <c r="O49" s="26">
        <f>O24/(O18*-1)</f>
        <v>0.92156695581747261</v>
      </c>
      <c r="P49" s="26">
        <f>P24/(P18*-1)</f>
        <v>3.3229203968571608</v>
      </c>
      <c r="Q49" s="26">
        <f>Q24/(Q18*-1)</f>
        <v>3.2900263052298362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4.6196676173449865E-2</v>
      </c>
      <c r="I50" s="28">
        <f>LN(I13/J13)</f>
        <v>0.12450586917204873</v>
      </c>
      <c r="J50" s="28">
        <f>LN(J13/K13)</f>
        <v>0.12585787321357961</v>
      </c>
      <c r="M50" s="2"/>
      <c r="N50" s="12"/>
      <c r="O50" s="12"/>
    </row>
    <row r="51" spans="1:26">
      <c r="A51" s="29" t="s">
        <v>57</v>
      </c>
      <c r="B51" s="30">
        <f>B11/B17</f>
        <v>1.8356831787575936</v>
      </c>
      <c r="C51" s="30">
        <f>C11/C17</f>
        <v>2.5691014356520254</v>
      </c>
      <c r="D51" s="30">
        <f>D11/D17</f>
        <v>2.2030358444426232</v>
      </c>
      <c r="E51" s="30">
        <f>E11/E17</f>
        <v>2.2671478027545313</v>
      </c>
      <c r="G51" s="29" t="s">
        <v>58</v>
      </c>
      <c r="H51" s="63">
        <f>H13/H11</f>
        <v>0.48802235241057307</v>
      </c>
      <c r="I51" s="63">
        <f>I13/I11</f>
        <v>0.54043297922847855</v>
      </c>
      <c r="J51" s="63">
        <f>J13/J11</f>
        <v>0.5410385285468482</v>
      </c>
      <c r="K51" s="63">
        <f>K13/K11</f>
        <v>0.52280860414993868</v>
      </c>
      <c r="M51" s="2" t="s">
        <v>59</v>
      </c>
      <c r="N51" s="32">
        <f>(N11-N24-N25)/B16</f>
        <v>0.10225810837665122</v>
      </c>
      <c r="O51" s="32">
        <f>(O11-O24-O25)/C16</f>
        <v>6.0292872129506653E-2</v>
      </c>
      <c r="P51" s="32">
        <f>(P11-P24-P25)/D16</f>
        <v>3.887083655078942E-2</v>
      </c>
      <c r="Q51" s="32">
        <f>(Q11-Q24-Q25)/E16</f>
        <v>6.4624784820208225E-2</v>
      </c>
    </row>
    <row r="52" spans="1:26">
      <c r="A52" s="29" t="s">
        <v>60</v>
      </c>
      <c r="B52" s="31">
        <f>H20/B16</f>
        <v>9.3361119536455012E-2</v>
      </c>
      <c r="C52" s="31">
        <f>I20/C16</f>
        <v>7.6238426594290767E-2</v>
      </c>
      <c r="D52" s="31">
        <f>J20/D16</f>
        <v>6.1065905249103193E-2</v>
      </c>
      <c r="E52" s="31">
        <f>K20/E16</f>
        <v>6.3757899061389928E-2</v>
      </c>
      <c r="F52" s="31"/>
      <c r="G52" s="29" t="s">
        <v>61</v>
      </c>
      <c r="H52" s="63">
        <f>H16/H11</f>
        <v>0.33064700117474494</v>
      </c>
      <c r="I52" s="63">
        <f>I16/I11</f>
        <v>0.35890356730372891</v>
      </c>
      <c r="J52" s="63">
        <f>J16/J11</f>
        <v>0.37560262312175552</v>
      </c>
      <c r="K52" s="63">
        <f>K16/K11</f>
        <v>0.34727802899040694</v>
      </c>
      <c r="M52" s="6"/>
    </row>
    <row r="53" spans="1:26">
      <c r="A53" s="29" t="s">
        <v>62</v>
      </c>
      <c r="B53" s="31">
        <f>H20/B20</f>
        <v>0.13091100278061316</v>
      </c>
      <c r="C53" s="31">
        <f>I20/C20</f>
        <v>9.070713681060294E-2</v>
      </c>
      <c r="D53" s="31">
        <f>J20/D20</f>
        <v>7.1612227228003658E-2</v>
      </c>
      <c r="E53" s="31">
        <f>K20/E20</f>
        <v>7.6054228191781162E-2</v>
      </c>
      <c r="G53" s="29" t="s">
        <v>11</v>
      </c>
      <c r="H53" s="63">
        <f>H17/H11</f>
        <v>3.6943176479765122E-3</v>
      </c>
      <c r="I53" s="63">
        <f>I17/I11</f>
        <v>1.6962479577414015E-2</v>
      </c>
      <c r="J53" s="63">
        <f>J17/J11</f>
        <v>5.8444127552881604E-3</v>
      </c>
      <c r="K53" s="63">
        <f>K17/K11</f>
        <v>6.1902548282128213E-3</v>
      </c>
      <c r="M53" s="6"/>
    </row>
    <row r="54" spans="1:26">
      <c r="A54" s="29" t="s">
        <v>63</v>
      </c>
      <c r="B54" s="30">
        <f>H11/B12</f>
        <v>4.6478658619693274</v>
      </c>
      <c r="C54" s="30">
        <f>I11/C12</f>
        <v>5.1057875635972145</v>
      </c>
      <c r="D54" s="30">
        <f>J11/D12</f>
        <v>4.2428485415671364</v>
      </c>
      <c r="E54" s="30">
        <f>K11/E12</f>
        <v>4.1740458769324125</v>
      </c>
      <c r="G54" s="29" t="s">
        <v>64</v>
      </c>
      <c r="H54" s="63">
        <f>H25/H22</f>
        <v>0</v>
      </c>
      <c r="I54" s="63">
        <f>I25/I22</f>
        <v>0</v>
      </c>
      <c r="J54" s="63">
        <f>J25/J22</f>
        <v>0</v>
      </c>
      <c r="K54" s="63">
        <f>K25/K22</f>
        <v>0.64492569841767933</v>
      </c>
      <c r="M54" s="6"/>
    </row>
    <row r="55" spans="1:26">
      <c r="A55" s="29" t="s">
        <v>65</v>
      </c>
      <c r="B55" s="31">
        <f>(B22-B20)/B16</f>
        <v>0.28683519678698055</v>
      </c>
      <c r="C55" s="31">
        <f>(C22-C20)/C16</f>
        <v>0.15951016342322574</v>
      </c>
      <c r="D55" s="31">
        <f>(D22-D20)/D16</f>
        <v>0.14726985023552466</v>
      </c>
      <c r="E55" s="31">
        <f>(E22-E20)/E16</f>
        <v>0.16167844211612212</v>
      </c>
      <c r="G55" s="29" t="s">
        <v>66</v>
      </c>
      <c r="H55" s="63">
        <f>H22/H11</f>
        <v>0.2094095719130982</v>
      </c>
      <c r="I55" s="63">
        <f>I22/I11</f>
        <v>0.21551898875380393</v>
      </c>
      <c r="J55" s="63">
        <f>J22/J11</f>
        <v>0.20578148004470073</v>
      </c>
      <c r="K55" s="63">
        <f>K22/K11</f>
        <v>0.1966217301272028</v>
      </c>
      <c r="L55" s="31"/>
      <c r="M55" s="6"/>
    </row>
    <row r="56" spans="1:26">
      <c r="A56" s="29" t="s">
        <v>67</v>
      </c>
      <c r="B56" s="31">
        <f>(B22-B20)/B20</f>
        <v>0.40220043879717948</v>
      </c>
      <c r="C56" s="31">
        <f>(C22-C20)/C20</f>
        <v>0.18978238222712326</v>
      </c>
      <c r="D56" s="31">
        <f>(D22-D20)/D20</f>
        <v>0.17270393251159313</v>
      </c>
      <c r="E56" s="31">
        <f>(E22-E20)/E20</f>
        <v>0.19285969756549837</v>
      </c>
      <c r="G56" s="33" t="s">
        <v>68</v>
      </c>
      <c r="H56" s="34">
        <f>H13/B16</f>
        <v>0.21757512210938071</v>
      </c>
      <c r="I56" s="34">
        <f>I13/C16</f>
        <v>0.19117461646551559</v>
      </c>
      <c r="J56" s="34">
        <f>J13/D16</f>
        <v>0.16055384339338591</v>
      </c>
      <c r="K56" s="34">
        <f>K13/E16</f>
        <v>0.16952947260841073</v>
      </c>
      <c r="M56" s="6"/>
    </row>
    <row r="57" spans="1:26">
      <c r="A57" s="29" t="s">
        <v>69</v>
      </c>
      <c r="B57" s="30">
        <f>H11/B16</f>
        <v>0.44583023919841858</v>
      </c>
      <c r="C57" s="30">
        <f>I11/C16</f>
        <v>0.35374343131027314</v>
      </c>
      <c r="D57" s="30">
        <f>J11/D16</f>
        <v>0.29675121996322601</v>
      </c>
      <c r="E57" s="30">
        <f>K11/E16</f>
        <v>0.32426679909764949</v>
      </c>
      <c r="G57" s="33" t="s">
        <v>70</v>
      </c>
      <c r="H57" s="35">
        <f>H25/$B$5</f>
        <v>0</v>
      </c>
      <c r="I57" s="35">
        <f>I25/$B$5</f>
        <v>0</v>
      </c>
      <c r="J57" s="35">
        <f>J25/$B$5</f>
        <v>0</v>
      </c>
      <c r="K57" s="35">
        <f>K25/$B$5</f>
        <v>33.518990169794456</v>
      </c>
      <c r="M57" s="6"/>
    </row>
    <row r="58" spans="1:26">
      <c r="A58" s="29" t="s">
        <v>71</v>
      </c>
      <c r="B58" s="30">
        <f>B16/B20</f>
        <v>1.4022004387971796</v>
      </c>
      <c r="C58" s="30">
        <f>C16/C20</f>
        <v>1.1897823822271232</v>
      </c>
      <c r="D58" s="30">
        <f>D16/D20</f>
        <v>1.1727039325115931</v>
      </c>
      <c r="E58" s="30">
        <f>E16/E20</f>
        <v>1.1928596975654984</v>
      </c>
      <c r="G58" s="36" t="s">
        <v>72</v>
      </c>
      <c r="H58" s="37">
        <f>H22/$B$7/1000</f>
        <v>2.9754499999999999</v>
      </c>
      <c r="I58" s="37">
        <f>I22/$B$7/1000</f>
        <v>2.6404416666666668</v>
      </c>
      <c r="J58" s="37">
        <f>J22/$B$7/1000</f>
        <v>2.2235083333333332</v>
      </c>
      <c r="K58" s="37">
        <f>K22/$B$7/1000</f>
        <v>1.9386083333333333</v>
      </c>
      <c r="M58" s="6"/>
    </row>
    <row r="59" spans="1:26">
      <c r="G59" s="36" t="s">
        <v>73</v>
      </c>
      <c r="H59" s="37">
        <f>B20/$B$7/1000</f>
        <v>22.7288</v>
      </c>
      <c r="I59" s="37">
        <f>C20/$B$7/1000</f>
        <v>29.109525000000001</v>
      </c>
      <c r="J59" s="37">
        <f>D20/$B$7/1000</f>
        <v>31.049283333333332</v>
      </c>
      <c r="K59" s="37">
        <f>E20/$B$7/1000</f>
        <v>25.489816666666666</v>
      </c>
      <c r="L59" s="65"/>
      <c r="M59" s="6"/>
    </row>
    <row r="60" spans="1:26">
      <c r="G60" s="33" t="s">
        <v>74</v>
      </c>
      <c r="H60" s="38">
        <f>SQRT(22.5*H58*H59)</f>
        <v>39.008193743109921</v>
      </c>
      <c r="I60" s="38">
        <f>SQRT(22.5*I58*I59)</f>
        <v>41.585995971056022</v>
      </c>
      <c r="J60" s="38">
        <f>SQRT(22.5*J58*J59)</f>
        <v>39.412721998145791</v>
      </c>
      <c r="K60" s="38">
        <f>SQRT(22.5*K58*K59)</f>
        <v>33.344150125856032</v>
      </c>
      <c r="M60" s="6"/>
    </row>
    <row r="61" spans="1:26">
      <c r="G61" s="33" t="s">
        <v>75</v>
      </c>
      <c r="H61" s="39">
        <f>H58-(B20*0.08/1000/$B$7)</f>
        <v>1.1571459999999998</v>
      </c>
      <c r="I61" s="39">
        <f>I58-(C20*0.08/1000/$B$7)</f>
        <v>0.31167966666666702</v>
      </c>
      <c r="J61" s="39">
        <f>J58-(D20*0.08/1000/$B$7)</f>
        <v>-0.26043433333333343</v>
      </c>
      <c r="K61" s="39">
        <f>K58-(E20*0.08/1000/$B$7)</f>
        <v>-0.10057699999999992</v>
      </c>
      <c r="M61" s="6"/>
    </row>
    <row r="62" spans="1:26">
      <c r="G62" s="40" t="s">
        <v>76</v>
      </c>
      <c r="H62" s="69">
        <v>1</v>
      </c>
      <c r="I62" s="69">
        <v>1.5</v>
      </c>
      <c r="J62" s="69">
        <v>0.65</v>
      </c>
      <c r="K62" s="69">
        <v>1.31</v>
      </c>
      <c r="M62" s="6"/>
    </row>
    <row r="63" spans="1:26">
      <c r="A63" s="2"/>
      <c r="G63" s="6"/>
      <c r="M63" s="6"/>
    </row>
    <row r="64" spans="1:26">
      <c r="G64" s="2" t="s">
        <v>85</v>
      </c>
      <c r="H64" s="47">
        <f>SUM(H62:J62)</f>
        <v>3.15</v>
      </c>
      <c r="M64" s="6"/>
    </row>
    <row r="65" spans="7:13">
      <c r="G65" s="6"/>
      <c r="M65" s="6"/>
    </row>
    <row r="66" spans="7:13">
      <c r="G66" s="6"/>
      <c r="M66" s="6"/>
    </row>
    <row r="67" spans="7:13">
      <c r="G67" s="6"/>
      <c r="M67" s="6"/>
    </row>
    <row r="68" spans="7:13">
      <c r="G68" s="6"/>
      <c r="M68" s="6"/>
    </row>
    <row r="69" spans="7:13">
      <c r="G69" s="6"/>
      <c r="M69" s="6"/>
    </row>
    <row r="70" spans="7:13">
      <c r="G70" s="6"/>
      <c r="M70" s="6"/>
    </row>
    <row r="71" spans="7:13">
      <c r="G71" s="6"/>
      <c r="M71" s="6"/>
    </row>
    <row r="72" spans="7:13">
      <c r="G72" s="6"/>
      <c r="M72" s="6"/>
    </row>
    <row r="73" spans="7:13">
      <c r="G73" s="6"/>
      <c r="M73" s="6"/>
    </row>
    <row r="74" spans="7:13">
      <c r="G74" s="2" t="s">
        <v>86</v>
      </c>
      <c r="H74" s="6">
        <f>H59*$B$7/$B$5</f>
        <v>0.60935120643431639</v>
      </c>
      <c r="I74" s="6">
        <f>I59*$B$7/$B$5</f>
        <v>0.78041621983914211</v>
      </c>
      <c r="J74" s="6">
        <f>J59*$B$7/$B$5</f>
        <v>0.83242046470062547</v>
      </c>
      <c r="K74" s="6">
        <f>K59*$B$7/$B$5</f>
        <v>0.68337310098302051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7.2447766184786128E-2</v>
      </c>
      <c r="I77" s="28">
        <f>(I15-I16)/$B$6</f>
        <v>6.8994505286806646E-2</v>
      </c>
      <c r="J77" s="28">
        <f>(J15-J16)/$B$6</f>
        <v>5.7437120730416777E-2</v>
      </c>
      <c r="K77" s="28">
        <f>(K15-K16)/$B$6</f>
        <v>5.0671083951928174E-2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zoomScaleNormal="100" workbookViewId="0"/>
  </sheetViews>
  <sheetFormatPr defaultRowHeight="15"/>
  <cols>
    <col min="1" max="7" width="15.140625"/>
    <col min="8" max="8" width="22.5703125"/>
    <col min="9" max="14" width="15.140625"/>
    <col min="15" max="15" width="23.140625"/>
    <col min="16" max="29" width="15.140625"/>
    <col min="30" max="1025" width="14.42578125"/>
  </cols>
  <sheetData>
    <row r="1" spans="1:20">
      <c r="A1" s="2"/>
      <c r="B1" s="1"/>
      <c r="C1" s="1">
        <v>2270</v>
      </c>
      <c r="H1" s="6"/>
      <c r="O1" s="6"/>
    </row>
    <row r="2" spans="1:20">
      <c r="A2" s="2"/>
      <c r="C2" t="str">
        <f ca="1">IFERROR(__xludf.dummyfunction("GoogleFinance(""TADAWUL:""&amp;C1,""eps"")"),"9.05")</f>
        <v>9.05</v>
      </c>
      <c r="H2" s="6"/>
      <c r="O2" s="6"/>
    </row>
    <row r="3" spans="1:20">
      <c r="A3" s="2"/>
      <c r="H3" s="6"/>
      <c r="O3" s="6"/>
    </row>
    <row r="4" spans="1:20">
      <c r="A4" s="2"/>
      <c r="H4" s="6"/>
      <c r="O4" s="6"/>
    </row>
    <row r="5" spans="1:20">
      <c r="A5" s="2" t="s">
        <v>0</v>
      </c>
      <c r="B5" s="81"/>
      <c r="C5" s="3" t="str">
        <f ca="1">IFERROR(__xludf.dummyfunction("GoogleFinance(""TADAWUL:""&amp;C1,""marketcap"")/1000"),"4,212,000.20")</f>
        <v>4,212,000.20</v>
      </c>
      <c r="H5" s="6"/>
      <c r="O5" s="6"/>
    </row>
    <row r="6" spans="1:20">
      <c r="A6" s="2" t="s">
        <v>1</v>
      </c>
      <c r="B6" s="4"/>
      <c r="C6" s="4">
        <f ca="1">C5*1000+(C22-C20)-S23</f>
        <v>4212185572</v>
      </c>
      <c r="H6" s="6"/>
      <c r="O6" s="6"/>
    </row>
    <row r="7" spans="1:20">
      <c r="A7" s="2" t="s">
        <v>2</v>
      </c>
      <c r="B7" s="5"/>
      <c r="C7" s="5" t="str">
        <f ca="1">IFERROR(__xludf.dummyfunction("GoogleFinance(""TADAWUL:""&amp;C1,""shares"")/1000000"),"32.5")</f>
        <v>32.5</v>
      </c>
      <c r="H7" s="6"/>
      <c r="O7" s="6"/>
    </row>
    <row r="8" spans="1:20">
      <c r="H8" s="6"/>
      <c r="O8" s="6"/>
    </row>
    <row r="9" spans="1:20">
      <c r="H9" s="6"/>
      <c r="O9" s="6"/>
    </row>
    <row r="10" spans="1:20">
      <c r="A10" s="7" t="s">
        <v>3</v>
      </c>
      <c r="B10" s="8">
        <v>42825</v>
      </c>
      <c r="C10" s="8">
        <v>42460</v>
      </c>
      <c r="D10" s="8">
        <v>42094</v>
      </c>
      <c r="E10" s="8">
        <v>41729</v>
      </c>
      <c r="F10" s="22">
        <v>41364</v>
      </c>
      <c r="H10" s="7" t="s">
        <v>4</v>
      </c>
      <c r="I10" s="8">
        <v>42825</v>
      </c>
      <c r="J10" s="8">
        <v>42460</v>
      </c>
      <c r="K10" s="8">
        <v>42094</v>
      </c>
      <c r="L10" s="8">
        <v>41729</v>
      </c>
      <c r="M10" s="22">
        <v>41364</v>
      </c>
      <c r="O10" s="7" t="s">
        <v>5</v>
      </c>
      <c r="P10" s="8">
        <v>42825</v>
      </c>
      <c r="Q10" s="8">
        <v>42460</v>
      </c>
      <c r="R10" s="8">
        <v>42094</v>
      </c>
      <c r="S10" s="8">
        <v>41729</v>
      </c>
      <c r="T10" s="22">
        <v>41364</v>
      </c>
    </row>
    <row r="11" spans="1:20">
      <c r="A11" s="10" t="s">
        <v>6</v>
      </c>
      <c r="B11" s="11">
        <v>722352</v>
      </c>
      <c r="C11" s="11">
        <v>431938</v>
      </c>
      <c r="D11" s="11">
        <v>264258</v>
      </c>
      <c r="E11" s="11">
        <v>331705</v>
      </c>
      <c r="F11" s="56">
        <v>380564</v>
      </c>
      <c r="H11" s="10" t="s">
        <v>7</v>
      </c>
      <c r="I11" s="11">
        <v>1857739</v>
      </c>
      <c r="J11" s="11">
        <v>1982764</v>
      </c>
      <c r="K11" s="11">
        <v>1806878</v>
      </c>
      <c r="L11" s="11">
        <v>1552824</v>
      </c>
      <c r="M11" s="56">
        <v>1549023</v>
      </c>
      <c r="O11" s="10" t="s">
        <v>8</v>
      </c>
      <c r="P11" s="11">
        <v>301773</v>
      </c>
      <c r="Q11" s="11">
        <v>260828</v>
      </c>
      <c r="R11" s="11">
        <v>141469</v>
      </c>
      <c r="S11" s="11">
        <v>171534</v>
      </c>
      <c r="T11" s="56">
        <v>164721</v>
      </c>
    </row>
    <row r="12" spans="1:20">
      <c r="A12" s="10" t="s">
        <v>9</v>
      </c>
      <c r="B12" s="11">
        <v>321429</v>
      </c>
      <c r="C12" s="11">
        <v>381120</v>
      </c>
      <c r="D12" s="11">
        <v>352718</v>
      </c>
      <c r="E12" s="11">
        <v>308421</v>
      </c>
      <c r="F12" s="56">
        <v>295395</v>
      </c>
      <c r="H12" s="10" t="s">
        <v>10</v>
      </c>
      <c r="I12" s="11">
        <v>1047564</v>
      </c>
      <c r="J12" s="11">
        <v>1222609</v>
      </c>
      <c r="K12" s="11">
        <v>1212331</v>
      </c>
      <c r="L12" s="11">
        <v>1030200</v>
      </c>
      <c r="M12" s="56">
        <v>1051685</v>
      </c>
      <c r="O12" s="10" t="s">
        <v>11</v>
      </c>
      <c r="P12" s="11">
        <v>75847</v>
      </c>
      <c r="Q12" s="11">
        <v>82173</v>
      </c>
      <c r="R12" s="11">
        <v>71350</v>
      </c>
      <c r="S12" s="11">
        <v>56959</v>
      </c>
      <c r="T12" s="56">
        <v>45894</v>
      </c>
    </row>
    <row r="13" spans="1:20">
      <c r="A13" s="10" t="s">
        <v>12</v>
      </c>
      <c r="B13" s="11">
        <v>243</v>
      </c>
      <c r="C13" s="11">
        <v>243</v>
      </c>
      <c r="D13" s="11">
        <v>243</v>
      </c>
      <c r="E13" s="11">
        <v>243</v>
      </c>
      <c r="F13" s="56">
        <v>243</v>
      </c>
      <c r="H13" s="10" t="s">
        <v>13</v>
      </c>
      <c r="I13" s="11">
        <v>810175</v>
      </c>
      <c r="J13" s="11">
        <v>760155</v>
      </c>
      <c r="K13" s="11">
        <v>594547</v>
      </c>
      <c r="L13" s="11">
        <v>522624</v>
      </c>
      <c r="M13" s="56">
        <v>497338</v>
      </c>
      <c r="O13" s="10" t="s">
        <v>14</v>
      </c>
      <c r="P13" s="11">
        <v>6283</v>
      </c>
      <c r="Q13" s="13">
        <v>-5314</v>
      </c>
      <c r="R13" s="13">
        <v>-581</v>
      </c>
      <c r="S13" s="11">
        <v>48171</v>
      </c>
      <c r="T13" s="56">
        <v>70784</v>
      </c>
    </row>
    <row r="14" spans="1:20">
      <c r="A14" s="10" t="s">
        <v>15</v>
      </c>
      <c r="B14" s="11">
        <v>598004</v>
      </c>
      <c r="C14" s="11">
        <v>577203</v>
      </c>
      <c r="D14" s="11">
        <v>591854</v>
      </c>
      <c r="E14" s="11">
        <v>497678</v>
      </c>
      <c r="F14" s="56">
        <v>422414</v>
      </c>
      <c r="H14" s="10" t="s">
        <v>16</v>
      </c>
      <c r="I14" s="11">
        <v>4996</v>
      </c>
      <c r="J14" s="11">
        <v>423</v>
      </c>
      <c r="K14" s="13">
        <v>-287</v>
      </c>
      <c r="L14" s="11">
        <v>648</v>
      </c>
      <c r="M14" s="56">
        <v>818</v>
      </c>
      <c r="O14" s="10" t="s">
        <v>9</v>
      </c>
      <c r="P14" s="11">
        <v>54281</v>
      </c>
      <c r="Q14" s="13">
        <v>-32552</v>
      </c>
      <c r="R14" s="13">
        <v>-44297</v>
      </c>
      <c r="S14" s="13">
        <v>-13026</v>
      </c>
      <c r="T14" s="58">
        <v>-42290</v>
      </c>
    </row>
    <row r="15" spans="1:20">
      <c r="A15" s="10" t="s">
        <v>17</v>
      </c>
      <c r="B15" s="18"/>
      <c r="C15" s="18"/>
      <c r="D15" s="18"/>
      <c r="E15" s="18"/>
      <c r="F15" s="56">
        <v>4068</v>
      </c>
      <c r="H15" s="10" t="s">
        <v>18</v>
      </c>
      <c r="I15" s="11">
        <v>815171</v>
      </c>
      <c r="J15" s="11">
        <v>760578</v>
      </c>
      <c r="K15" s="11">
        <v>594260</v>
      </c>
      <c r="L15" s="11">
        <v>523272</v>
      </c>
      <c r="M15" s="56">
        <v>498156</v>
      </c>
      <c r="O15" s="10" t="s">
        <v>19</v>
      </c>
      <c r="P15" s="13">
        <v>-2178</v>
      </c>
      <c r="Q15" s="11">
        <v>11263</v>
      </c>
      <c r="R15" s="11">
        <v>18381</v>
      </c>
      <c r="S15" s="13">
        <v>-11319</v>
      </c>
      <c r="T15" s="58">
        <v>-14518</v>
      </c>
    </row>
    <row r="16" spans="1:20">
      <c r="A16" s="10" t="s">
        <v>20</v>
      </c>
      <c r="B16" s="11">
        <v>1642028</v>
      </c>
      <c r="C16" s="11">
        <v>1390504</v>
      </c>
      <c r="D16" s="11">
        <v>1209073</v>
      </c>
      <c r="E16" s="11">
        <v>1138047</v>
      </c>
      <c r="F16" s="56">
        <v>1102684</v>
      </c>
      <c r="H16" s="10" t="s">
        <v>21</v>
      </c>
      <c r="I16" s="11">
        <v>423529</v>
      </c>
      <c r="J16" s="11">
        <v>402324</v>
      </c>
      <c r="K16" s="11">
        <v>367604</v>
      </c>
      <c r="L16" s="11">
        <v>281715</v>
      </c>
      <c r="M16" s="56">
        <v>275864</v>
      </c>
      <c r="O16" s="10" t="s">
        <v>22</v>
      </c>
      <c r="P16" s="11">
        <v>65246</v>
      </c>
      <c r="Q16" s="11">
        <v>14171</v>
      </c>
      <c r="R16" s="11">
        <v>43509</v>
      </c>
      <c r="S16" s="13">
        <v>-38404</v>
      </c>
      <c r="T16" s="58">
        <v>-53867</v>
      </c>
    </row>
    <row r="17" spans="1:29">
      <c r="A17" s="10" t="s">
        <v>23</v>
      </c>
      <c r="B17" s="11">
        <v>268724</v>
      </c>
      <c r="C17" s="11">
        <v>196498</v>
      </c>
      <c r="D17" s="11">
        <v>176073</v>
      </c>
      <c r="E17" s="11">
        <v>134802</v>
      </c>
      <c r="F17" s="56">
        <v>173599</v>
      </c>
      <c r="H17" s="10" t="s">
        <v>11</v>
      </c>
      <c r="I17" s="11">
        <v>75847</v>
      </c>
      <c r="J17" s="11">
        <v>82173</v>
      </c>
      <c r="K17" s="11">
        <v>71350</v>
      </c>
      <c r="L17" s="11">
        <v>56959</v>
      </c>
      <c r="M17" s="56">
        <v>45894</v>
      </c>
      <c r="O17" s="10" t="s">
        <v>24</v>
      </c>
      <c r="P17" s="11">
        <v>25236</v>
      </c>
      <c r="Q17" s="11">
        <v>32270</v>
      </c>
      <c r="R17" s="13">
        <v>-1035</v>
      </c>
      <c r="S17" s="13">
        <v>-1207</v>
      </c>
      <c r="T17" s="58">
        <v>-1516</v>
      </c>
    </row>
    <row r="18" spans="1:29">
      <c r="A18" s="10" t="s">
        <v>25</v>
      </c>
      <c r="B18" s="11">
        <v>111072</v>
      </c>
      <c r="C18" s="11">
        <v>100422</v>
      </c>
      <c r="D18" s="11">
        <v>83768</v>
      </c>
      <c r="E18" s="11">
        <v>80555</v>
      </c>
      <c r="F18" s="56">
        <v>78337</v>
      </c>
      <c r="H18" s="10" t="s">
        <v>26</v>
      </c>
      <c r="I18" s="13">
        <v>-6668</v>
      </c>
      <c r="J18" s="13">
        <v>-80</v>
      </c>
      <c r="K18" s="11">
        <v>1571</v>
      </c>
      <c r="L18" s="13">
        <v>-1289</v>
      </c>
      <c r="M18" s="58">
        <v>-2043</v>
      </c>
      <c r="O18" s="10" t="s">
        <v>27</v>
      </c>
      <c r="P18" s="13">
        <v>-97141</v>
      </c>
      <c r="Q18" s="13">
        <v>-67836</v>
      </c>
      <c r="R18" s="13">
        <v>-166036</v>
      </c>
      <c r="S18" s="13">
        <v>-134650</v>
      </c>
      <c r="T18" s="58">
        <v>-146518</v>
      </c>
    </row>
    <row r="19" spans="1:29">
      <c r="A19" s="10" t="s">
        <v>28</v>
      </c>
      <c r="B19" s="18"/>
      <c r="C19" s="18"/>
      <c r="D19" s="18"/>
      <c r="E19" s="18"/>
      <c r="F19" s="56">
        <v>296</v>
      </c>
      <c r="H19" s="10" t="s">
        <v>29</v>
      </c>
      <c r="I19" s="11">
        <v>492708</v>
      </c>
      <c r="J19" s="11">
        <v>484417</v>
      </c>
      <c r="K19" s="11">
        <v>440525</v>
      </c>
      <c r="L19" s="11">
        <v>337385</v>
      </c>
      <c r="M19" s="56">
        <v>319715</v>
      </c>
      <c r="O19" s="10" t="s">
        <v>30</v>
      </c>
      <c r="P19" s="11">
        <v>1408</v>
      </c>
      <c r="Q19" s="11">
        <v>1332</v>
      </c>
      <c r="R19" s="11">
        <v>3829</v>
      </c>
      <c r="S19" s="11">
        <v>78968</v>
      </c>
      <c r="T19" s="56">
        <v>75836</v>
      </c>
    </row>
    <row r="20" spans="1:29">
      <c r="A20" s="10" t="s">
        <v>31</v>
      </c>
      <c r="B20" s="11">
        <v>1260663</v>
      </c>
      <c r="C20" s="11">
        <v>1092219</v>
      </c>
      <c r="D20" s="11">
        <v>948007</v>
      </c>
      <c r="E20" s="11">
        <v>921531</v>
      </c>
      <c r="F20" s="56">
        <v>850452</v>
      </c>
      <c r="H20" s="10" t="s">
        <v>32</v>
      </c>
      <c r="I20" s="11">
        <v>322463</v>
      </c>
      <c r="J20" s="11">
        <v>276161</v>
      </c>
      <c r="K20" s="11">
        <v>153735</v>
      </c>
      <c r="L20" s="11">
        <v>185887</v>
      </c>
      <c r="M20" s="56">
        <v>178441</v>
      </c>
      <c r="O20" s="10" t="s">
        <v>33</v>
      </c>
      <c r="P20" s="18"/>
      <c r="Q20" s="18"/>
      <c r="R20" s="18"/>
      <c r="S20" s="18"/>
      <c r="T20" s="57"/>
    </row>
    <row r="21" spans="1:29">
      <c r="A21" s="10" t="s">
        <v>34</v>
      </c>
      <c r="B21" s="11">
        <v>1569</v>
      </c>
      <c r="C21" s="18"/>
      <c r="D21" s="18"/>
      <c r="E21" s="18"/>
      <c r="F21" s="59"/>
      <c r="H21" s="10" t="s">
        <v>35</v>
      </c>
      <c r="I21" s="11">
        <v>20690</v>
      </c>
      <c r="J21" s="11">
        <v>15333</v>
      </c>
      <c r="K21" s="11">
        <v>12266</v>
      </c>
      <c r="L21" s="11">
        <v>14353</v>
      </c>
      <c r="M21" s="56">
        <v>13720</v>
      </c>
      <c r="O21" s="10" t="s">
        <v>36</v>
      </c>
      <c r="P21" s="13">
        <v>-133358</v>
      </c>
      <c r="Q21" s="13">
        <v>-115625</v>
      </c>
      <c r="R21" s="13">
        <v>-113750</v>
      </c>
      <c r="S21" s="13">
        <v>-97500</v>
      </c>
      <c r="T21" s="58">
        <v>-97500</v>
      </c>
    </row>
    <row r="22" spans="1:29">
      <c r="A22" s="10" t="s">
        <v>37</v>
      </c>
      <c r="B22" s="11">
        <v>1642028</v>
      </c>
      <c r="C22" s="11">
        <v>1390504</v>
      </c>
      <c r="D22" s="11">
        <v>1209073</v>
      </c>
      <c r="E22" s="11">
        <v>1138047</v>
      </c>
      <c r="F22" s="56">
        <v>1102684</v>
      </c>
      <c r="H22" s="10" t="s">
        <v>8</v>
      </c>
      <c r="I22" s="11">
        <v>301773</v>
      </c>
      <c r="J22" s="11">
        <v>260828</v>
      </c>
      <c r="K22" s="11">
        <v>141469</v>
      </c>
      <c r="L22" s="11">
        <v>171534</v>
      </c>
      <c r="M22" s="56">
        <v>164721</v>
      </c>
      <c r="O22" s="10" t="s">
        <v>38</v>
      </c>
      <c r="P22" s="11">
        <v>246517</v>
      </c>
      <c r="Q22" s="11">
        <v>65574</v>
      </c>
      <c r="R22" s="11">
        <v>113586</v>
      </c>
      <c r="S22" s="11">
        <v>53387</v>
      </c>
      <c r="T22" s="56">
        <v>52053</v>
      </c>
    </row>
    <row r="23" spans="1:29">
      <c r="B23" s="4">
        <f>B11+B12</f>
        <v>1043781</v>
      </c>
      <c r="C23" s="4">
        <f>C11+C12</f>
        <v>813058</v>
      </c>
      <c r="D23" s="4">
        <f>D11+D12</f>
        <v>616976</v>
      </c>
      <c r="E23" s="4">
        <f>E11+E12</f>
        <v>640126</v>
      </c>
      <c r="F23" s="4">
        <f>F11+F12</f>
        <v>675959</v>
      </c>
      <c r="H23" s="10" t="s">
        <v>39</v>
      </c>
      <c r="I23" s="11">
        <v>454163</v>
      </c>
      <c r="J23" s="11">
        <v>335121</v>
      </c>
      <c r="K23" s="11">
        <v>323414</v>
      </c>
      <c r="L23" s="11">
        <v>268312</v>
      </c>
      <c r="M23" s="56">
        <v>219379</v>
      </c>
      <c r="O23" s="10" t="s">
        <v>40</v>
      </c>
      <c r="P23" s="11">
        <v>543914</v>
      </c>
      <c r="Q23" s="11">
        <v>246284</v>
      </c>
      <c r="R23" s="11">
        <v>66425</v>
      </c>
      <c r="S23" s="11">
        <v>112913</v>
      </c>
      <c r="T23" s="56">
        <v>53079</v>
      </c>
    </row>
    <row r="24" spans="1:29">
      <c r="H24" s="10" t="s">
        <v>41</v>
      </c>
      <c r="I24" s="11">
        <v>30101</v>
      </c>
      <c r="J24" s="11">
        <v>26021</v>
      </c>
      <c r="K24" s="11">
        <v>14096</v>
      </c>
      <c r="L24" s="11">
        <v>17111</v>
      </c>
      <c r="M24" s="56">
        <v>16426</v>
      </c>
      <c r="O24" s="2" t="s">
        <v>42</v>
      </c>
      <c r="P24" s="12">
        <f>SUM(P11:P17)</f>
        <v>526488</v>
      </c>
      <c r="Q24" s="12">
        <f>SUM(Q11:Q17)</f>
        <v>362839</v>
      </c>
      <c r="R24" s="12">
        <f>SUM(R11:R17)</f>
        <v>228796</v>
      </c>
      <c r="S24" s="12">
        <f>SUM(S11:S17)</f>
        <v>212708</v>
      </c>
      <c r="T24" s="12">
        <f>SUM(T11:T17)</f>
        <v>169208</v>
      </c>
    </row>
    <row r="25" spans="1:29">
      <c r="H25" s="10" t="s">
        <v>43</v>
      </c>
      <c r="I25" s="11">
        <v>130000</v>
      </c>
      <c r="J25" s="11">
        <v>113750</v>
      </c>
      <c r="K25" s="11">
        <v>113750</v>
      </c>
      <c r="L25" s="11">
        <v>97500</v>
      </c>
      <c r="M25" s="56">
        <v>97500</v>
      </c>
      <c r="O25" s="2" t="s">
        <v>44</v>
      </c>
      <c r="P25" s="12">
        <f>P18+P19</f>
        <v>-95733</v>
      </c>
      <c r="Q25" s="12">
        <f>Q18+Q19</f>
        <v>-66504</v>
      </c>
      <c r="R25" s="12">
        <f>R18+R19</f>
        <v>-162207</v>
      </c>
      <c r="S25" s="12">
        <f>S18+S19</f>
        <v>-55682</v>
      </c>
      <c r="T25" s="12">
        <f>T18+T19</f>
        <v>-70682</v>
      </c>
    </row>
    <row r="26" spans="1:29">
      <c r="H26" s="10" t="s">
        <v>45</v>
      </c>
      <c r="I26" s="11">
        <v>3562</v>
      </c>
      <c r="J26" s="11">
        <v>2015</v>
      </c>
      <c r="K26" s="11">
        <v>1916</v>
      </c>
      <c r="L26" s="11">
        <v>1821</v>
      </c>
      <c r="M26" s="56">
        <v>1862</v>
      </c>
      <c r="O26" s="2" t="s">
        <v>46</v>
      </c>
      <c r="P26" s="12">
        <f>P20+P21</f>
        <v>-133358</v>
      </c>
      <c r="Q26" s="12">
        <f>Q20+Q21</f>
        <v>-115625</v>
      </c>
      <c r="R26" s="12">
        <f>R20+R21</f>
        <v>-113750</v>
      </c>
      <c r="S26" s="12">
        <f>S20+S21</f>
        <v>-97500</v>
      </c>
      <c r="T26" s="12">
        <f>T20+T21</f>
        <v>-97500</v>
      </c>
    </row>
    <row r="27" spans="1:29">
      <c r="H27" s="10" t="s">
        <v>47</v>
      </c>
      <c r="I27" s="11">
        <v>592273</v>
      </c>
      <c r="J27" s="11">
        <v>454163</v>
      </c>
      <c r="K27" s="11">
        <v>335121</v>
      </c>
      <c r="L27" s="11">
        <v>323414</v>
      </c>
      <c r="M27" s="56">
        <v>268312</v>
      </c>
      <c r="O27" s="2" t="s">
        <v>48</v>
      </c>
      <c r="P27" s="12">
        <f>P24+P25+P26</f>
        <v>297397</v>
      </c>
      <c r="Q27" s="12">
        <f>Q24+Q25+Q26</f>
        <v>180710</v>
      </c>
      <c r="R27" s="12">
        <f>R24+R25+R26</f>
        <v>-47161</v>
      </c>
      <c r="S27" s="12">
        <f>S24+S25+S26</f>
        <v>59526</v>
      </c>
      <c r="T27" s="12">
        <f>T24+T25+T26</f>
        <v>1026</v>
      </c>
    </row>
    <row r="28" spans="1:29">
      <c r="H28" s="6"/>
      <c r="O28" s="2"/>
      <c r="P28" s="19"/>
      <c r="Q28" s="12"/>
      <c r="R28" s="12"/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/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0.43991454469716718</v>
      </c>
      <c r="C30" s="24">
        <f t="shared" si="0"/>
        <v>0.31063412978315774</v>
      </c>
      <c r="D30" s="24">
        <f t="shared" si="0"/>
        <v>0.2185624854744089</v>
      </c>
      <c r="E30" s="24">
        <f t="shared" si="0"/>
        <v>0.29146863003021845</v>
      </c>
      <c r="F30" s="24">
        <f t="shared" si="0"/>
        <v>0.34512516731901433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0.16244101028185337</v>
      </c>
      <c r="Q30" s="26">
        <f t="shared" ref="Q30:Q42" si="3">Q11/J$11</f>
        <v>0.13154767788803912</v>
      </c>
      <c r="R30" s="26">
        <f t="shared" ref="R30:R42" si="4">R11/K$11</f>
        <v>7.8294716079336843E-2</v>
      </c>
      <c r="S30" s="26">
        <f t="shared" ref="S30:S42" si="5">S11/L$11</f>
        <v>0.11046583514937945</v>
      </c>
      <c r="T30" s="26">
        <f t="shared" ref="T30:T42" si="6">T11/M$11</f>
        <v>0.1063386405495593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0.19575122957708394</v>
      </c>
      <c r="C31" s="24">
        <f t="shared" si="0"/>
        <v>0.2740876689315529</v>
      </c>
      <c r="D31" s="24">
        <f t="shared" si="0"/>
        <v>0.29172597518925658</v>
      </c>
      <c r="E31" s="24">
        <f t="shared" si="0"/>
        <v>0.27100901808097555</v>
      </c>
      <c r="F31" s="24">
        <f t="shared" si="0"/>
        <v>0.26788726416634323</v>
      </c>
      <c r="G31" s="6"/>
      <c r="H31" s="25" t="s">
        <v>10</v>
      </c>
      <c r="I31" s="24">
        <f t="shared" si="1"/>
        <v>0.56389191377260206</v>
      </c>
      <c r="J31" s="24">
        <f t="shared" si="1"/>
        <v>0.61661851839149795</v>
      </c>
      <c r="K31" s="24">
        <f t="shared" si="1"/>
        <v>0.67095343459824075</v>
      </c>
      <c r="L31" s="24">
        <f t="shared" si="1"/>
        <v>0.66343642293009386</v>
      </c>
      <c r="M31" s="24">
        <f t="shared" si="1"/>
        <v>0.67893439929555599</v>
      </c>
      <c r="N31" s="6"/>
      <c r="O31" s="25" t="s">
        <v>11</v>
      </c>
      <c r="P31" s="26">
        <f t="shared" si="2"/>
        <v>4.0827586652376895E-2</v>
      </c>
      <c r="Q31" s="26">
        <f t="shared" si="3"/>
        <v>4.1443661474588001E-2</v>
      </c>
      <c r="R31" s="26">
        <f t="shared" si="4"/>
        <v>3.9488000850085067E-2</v>
      </c>
      <c r="S31" s="26">
        <f t="shared" si="5"/>
        <v>3.6680911680911678E-2</v>
      </c>
      <c r="T31" s="26">
        <f t="shared" si="6"/>
        <v>2.9627707270970152E-2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1.4798773224329915E-4</v>
      </c>
      <c r="C32" s="24">
        <f t="shared" si="0"/>
        <v>1.7475677883702599E-4</v>
      </c>
      <c r="D32" s="24">
        <f t="shared" si="0"/>
        <v>2.0098042053705607E-4</v>
      </c>
      <c r="E32" s="24">
        <f t="shared" si="0"/>
        <v>2.1352369453985645E-4</v>
      </c>
      <c r="F32" s="24">
        <f t="shared" si="0"/>
        <v>2.2037138473034886E-4</v>
      </c>
      <c r="G32" s="6"/>
      <c r="H32" s="25" t="s">
        <v>13</v>
      </c>
      <c r="I32" s="24">
        <f t="shared" si="1"/>
        <v>0.43610808622739794</v>
      </c>
      <c r="J32" s="24">
        <f t="shared" si="1"/>
        <v>0.38338148160850205</v>
      </c>
      <c r="K32" s="24">
        <f t="shared" si="1"/>
        <v>0.32904656540175925</v>
      </c>
      <c r="L32" s="24">
        <f t="shared" si="1"/>
        <v>0.33656357706990619</v>
      </c>
      <c r="M32" s="24">
        <f t="shared" si="1"/>
        <v>0.32106560070444401</v>
      </c>
      <c r="N32" s="6"/>
      <c r="O32" s="25" t="s">
        <v>14</v>
      </c>
      <c r="P32" s="26">
        <f t="shared" si="2"/>
        <v>3.3820682022609205E-3</v>
      </c>
      <c r="Q32" s="26">
        <f t="shared" si="3"/>
        <v>-2.6800970766061921E-3</v>
      </c>
      <c r="R32" s="26">
        <f t="shared" si="4"/>
        <v>-3.2154910292781251E-4</v>
      </c>
      <c r="S32" s="26">
        <f t="shared" si="5"/>
        <v>3.102154526205159E-2</v>
      </c>
      <c r="T32" s="26">
        <f t="shared" si="6"/>
        <v>4.5695899931763442E-2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0.36418623799350558</v>
      </c>
      <c r="C33" s="24">
        <f t="shared" si="0"/>
        <v>0.41510344450645231</v>
      </c>
      <c r="D33" s="24">
        <f t="shared" si="0"/>
        <v>0.48951055891579748</v>
      </c>
      <c r="E33" s="24">
        <f t="shared" si="0"/>
        <v>0.43730882819426614</v>
      </c>
      <c r="F33" s="24">
        <f t="shared" si="0"/>
        <v>0.38307801691146331</v>
      </c>
      <c r="G33" s="6"/>
      <c r="H33" s="25" t="s">
        <v>16</v>
      </c>
      <c r="I33" s="24">
        <f t="shared" si="1"/>
        <v>2.689290583876422E-3</v>
      </c>
      <c r="J33" s="24">
        <f t="shared" si="1"/>
        <v>2.1333855163801642E-4</v>
      </c>
      <c r="K33" s="24">
        <f t="shared" si="1"/>
        <v>-1.5883750867518449E-4</v>
      </c>
      <c r="L33" s="24">
        <f t="shared" si="1"/>
        <v>4.1730421477256921E-4</v>
      </c>
      <c r="M33" s="24">
        <f t="shared" si="1"/>
        <v>5.2807479295013699E-4</v>
      </c>
      <c r="N33" s="6"/>
      <c r="O33" s="25" t="s">
        <v>9</v>
      </c>
      <c r="P33" s="26">
        <f t="shared" si="2"/>
        <v>2.9218851517893524E-2</v>
      </c>
      <c r="Q33" s="26">
        <f t="shared" si="3"/>
        <v>-1.6417485893429576E-2</v>
      </c>
      <c r="R33" s="26">
        <f t="shared" si="4"/>
        <v>-2.4515766974859399E-2</v>
      </c>
      <c r="S33" s="26">
        <f t="shared" si="5"/>
        <v>-8.3885875025115526E-3</v>
      </c>
      <c r="T33" s="26">
        <f t="shared" si="6"/>
        <v>-2.7301079454598157E-2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0</v>
      </c>
      <c r="E34" s="24">
        <f t="shared" si="0"/>
        <v>0</v>
      </c>
      <c r="F34" s="24">
        <f t="shared" si="0"/>
        <v>3.6891802184488031E-3</v>
      </c>
      <c r="G34" s="6"/>
      <c r="H34" s="25" t="s">
        <v>18</v>
      </c>
      <c r="I34" s="24">
        <f t="shared" si="1"/>
        <v>0.43879737681127434</v>
      </c>
      <c r="J34" s="24">
        <f t="shared" si="1"/>
        <v>0.38359482016014007</v>
      </c>
      <c r="K34" s="24">
        <f t="shared" si="1"/>
        <v>0.32888772789308407</v>
      </c>
      <c r="L34" s="24">
        <f t="shared" si="1"/>
        <v>0.33698088128467873</v>
      </c>
      <c r="M34" s="24">
        <f t="shared" si="1"/>
        <v>0.32159367549739415</v>
      </c>
      <c r="N34" s="6"/>
      <c r="O34" s="25" t="s">
        <v>19</v>
      </c>
      <c r="P34" s="26">
        <f t="shared" si="2"/>
        <v>-1.1723928926506899E-3</v>
      </c>
      <c r="Q34" s="26">
        <f t="shared" si="3"/>
        <v>5.6804541538982957E-3</v>
      </c>
      <c r="R34" s="26">
        <f t="shared" si="4"/>
        <v>1.0172795285569917E-2</v>
      </c>
      <c r="S34" s="26">
        <f t="shared" si="5"/>
        <v>-7.2893000108189979E-3</v>
      </c>
      <c r="T34" s="26">
        <f t="shared" si="6"/>
        <v>-9.3723592225551204E-3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0.22798089505576402</v>
      </c>
      <c r="J35" s="24">
        <f t="shared" si="1"/>
        <v>0.20291068427710005</v>
      </c>
      <c r="K35" s="24">
        <f t="shared" si="1"/>
        <v>0.2034470506586499</v>
      </c>
      <c r="L35" s="24">
        <f t="shared" si="1"/>
        <v>0.18142107540841718</v>
      </c>
      <c r="M35" s="24">
        <f t="shared" si="1"/>
        <v>0.17808902772909119</v>
      </c>
      <c r="N35" s="6"/>
      <c r="O35" s="25" t="s">
        <v>22</v>
      </c>
      <c r="P35" s="26">
        <f t="shared" si="2"/>
        <v>3.5121187637229989E-2</v>
      </c>
      <c r="Q35" s="26">
        <f t="shared" si="3"/>
        <v>7.1470936531024369E-3</v>
      </c>
      <c r="R35" s="26">
        <f t="shared" si="4"/>
        <v>2.4079655626998615E-2</v>
      </c>
      <c r="S35" s="26">
        <f t="shared" si="5"/>
        <v>-2.4731714605132328E-2</v>
      </c>
      <c r="T35" s="26">
        <f t="shared" si="6"/>
        <v>-3.4774822581717636E-2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0.16365372575863504</v>
      </c>
      <c r="C36" s="24">
        <f t="shared" si="0"/>
        <v>0.14131422850995035</v>
      </c>
      <c r="D36" s="24">
        <f t="shared" si="0"/>
        <v>0.14562644273753528</v>
      </c>
      <c r="E36" s="24">
        <f t="shared" si="0"/>
        <v>0.11845029247473962</v>
      </c>
      <c r="F36" s="24">
        <f t="shared" si="0"/>
        <v>0.15743313587573593</v>
      </c>
      <c r="G36" s="6"/>
      <c r="H36" s="25" t="s">
        <v>11</v>
      </c>
      <c r="I36" s="24">
        <f t="shared" si="1"/>
        <v>4.0827586652376895E-2</v>
      </c>
      <c r="J36" s="24">
        <f t="shared" si="1"/>
        <v>4.1443661474588001E-2</v>
      </c>
      <c r="K36" s="24">
        <f t="shared" si="1"/>
        <v>3.9488000850085067E-2</v>
      </c>
      <c r="L36" s="24">
        <f t="shared" si="1"/>
        <v>3.6680911680911678E-2</v>
      </c>
      <c r="M36" s="24">
        <f t="shared" si="1"/>
        <v>2.9627707270970152E-2</v>
      </c>
      <c r="N36" s="6"/>
      <c r="O36" s="25" t="s">
        <v>24</v>
      </c>
      <c r="P36" s="26">
        <f t="shared" si="2"/>
        <v>1.3584254838812126E-2</v>
      </c>
      <c r="Q36" s="26">
        <f t="shared" si="3"/>
        <v>1.6275260192337566E-2</v>
      </c>
      <c r="R36" s="26">
        <f t="shared" si="4"/>
        <v>-5.7281122466486397E-4</v>
      </c>
      <c r="S36" s="26">
        <f t="shared" si="5"/>
        <v>-7.7729349881248619E-4</v>
      </c>
      <c r="T36" s="26">
        <f t="shared" si="6"/>
        <v>-9.7868140111541271E-4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6.7643182698467988E-2</v>
      </c>
      <c r="C37" s="24">
        <f t="shared" si="0"/>
        <v>7.2219856972723553E-2</v>
      </c>
      <c r="D37" s="24">
        <f t="shared" si="0"/>
        <v>6.9282830730650669E-2</v>
      </c>
      <c r="E37" s="24">
        <f t="shared" si="0"/>
        <v>7.0783544089128125E-2</v>
      </c>
      <c r="F37" s="24">
        <f t="shared" si="0"/>
        <v>7.1042111792680399E-2</v>
      </c>
      <c r="G37" s="6"/>
      <c r="H37" s="25" t="s">
        <v>26</v>
      </c>
      <c r="I37" s="24">
        <f t="shared" si="1"/>
        <v>-3.589309370153719E-3</v>
      </c>
      <c r="J37" s="24">
        <f t="shared" si="1"/>
        <v>-4.034771662184708E-5</v>
      </c>
      <c r="K37" s="24">
        <f t="shared" si="1"/>
        <v>8.6945549173768235E-4</v>
      </c>
      <c r="L37" s="24">
        <f t="shared" si="1"/>
        <v>-8.3010051364481739E-4</v>
      </c>
      <c r="M37" s="24">
        <f t="shared" si="1"/>
        <v>-1.3188958459622614E-3</v>
      </c>
      <c r="N37" s="6"/>
      <c r="O37" s="25" t="s">
        <v>27</v>
      </c>
      <c r="P37" s="26">
        <f t="shared" si="2"/>
        <v>-5.2289907247465871E-2</v>
      </c>
      <c r="Q37" s="26">
        <f t="shared" si="3"/>
        <v>-3.4212846309495233E-2</v>
      </c>
      <c r="R37" s="26">
        <f t="shared" si="4"/>
        <v>-9.1891096133773276E-2</v>
      </c>
      <c r="S37" s="26">
        <f t="shared" si="5"/>
        <v>-8.6712982282602533E-2</v>
      </c>
      <c r="T37" s="26">
        <f t="shared" si="6"/>
        <v>-9.458736248590241E-2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24">
        <f t="shared" si="0"/>
        <v>2.6843592543285294E-4</v>
      </c>
      <c r="G38" s="6"/>
      <c r="H38" s="25" t="s">
        <v>29</v>
      </c>
      <c r="I38" s="24">
        <f t="shared" si="1"/>
        <v>0.2652191723379872</v>
      </c>
      <c r="J38" s="24">
        <f t="shared" si="1"/>
        <v>0.2443139980350662</v>
      </c>
      <c r="K38" s="24">
        <f t="shared" si="1"/>
        <v>0.24380450700047263</v>
      </c>
      <c r="L38" s="24">
        <f t="shared" si="1"/>
        <v>0.21727188657568405</v>
      </c>
      <c r="M38" s="24">
        <f t="shared" si="1"/>
        <v>0.20639783915409907</v>
      </c>
      <c r="N38" s="6"/>
      <c r="O38" s="25" t="s">
        <v>30</v>
      </c>
      <c r="P38" s="26">
        <f t="shared" si="2"/>
        <v>7.5791055686509244E-4</v>
      </c>
      <c r="Q38" s="26">
        <f t="shared" si="3"/>
        <v>6.7178948175375386E-4</v>
      </c>
      <c r="R38" s="26">
        <f t="shared" si="4"/>
        <v>2.1191248108616079E-3</v>
      </c>
      <c r="S38" s="26">
        <f t="shared" si="5"/>
        <v>5.0854443259506547E-2</v>
      </c>
      <c r="T38" s="26">
        <f t="shared" si="6"/>
        <v>4.8957310511206095E-2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0.76774756581495562</v>
      </c>
      <c r="C39" s="24">
        <f t="shared" si="0"/>
        <v>0.7854842560683033</v>
      </c>
      <c r="D39" s="24">
        <f t="shared" si="0"/>
        <v>0.7840775536299297</v>
      </c>
      <c r="E39" s="24">
        <f t="shared" si="0"/>
        <v>0.80974775206999361</v>
      </c>
      <c r="F39" s="24">
        <f t="shared" si="0"/>
        <v>0.77125631640615078</v>
      </c>
      <c r="G39" s="6"/>
      <c r="H39" s="25" t="s">
        <v>32</v>
      </c>
      <c r="I39" s="24">
        <f t="shared" si="1"/>
        <v>0.17357820447328715</v>
      </c>
      <c r="J39" s="24">
        <f t="shared" si="1"/>
        <v>0.13928082212507389</v>
      </c>
      <c r="K39" s="24">
        <f t="shared" si="1"/>
        <v>8.5083220892611458E-2</v>
      </c>
      <c r="L39" s="24">
        <f t="shared" si="1"/>
        <v>0.11970899470899471</v>
      </c>
      <c r="M39" s="24">
        <f t="shared" si="1"/>
        <v>0.1151958363432951</v>
      </c>
      <c r="N39" s="6"/>
      <c r="O39" s="25" t="s">
        <v>33</v>
      </c>
      <c r="P39" s="26">
        <f t="shared" si="2"/>
        <v>0</v>
      </c>
      <c r="Q39" s="26">
        <f t="shared" si="3"/>
        <v>0</v>
      </c>
      <c r="R39" s="26">
        <f t="shared" si="4"/>
        <v>0</v>
      </c>
      <c r="S39" s="26">
        <f t="shared" si="5"/>
        <v>0</v>
      </c>
      <c r="T39" s="26">
        <f t="shared" si="6"/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>
        <f t="shared" si="0"/>
        <v>9.5552572794130189E-4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24">
        <f t="shared" si="0"/>
        <v>0</v>
      </c>
      <c r="G40" s="6"/>
      <c r="H40" s="25" t="s">
        <v>35</v>
      </c>
      <c r="I40" s="24">
        <f t="shared" ref="I40:M49" si="7">I21/I$11</f>
        <v>1.113719419143378E-2</v>
      </c>
      <c r="J40" s="24">
        <f t="shared" si="7"/>
        <v>7.7331442370347659E-3</v>
      </c>
      <c r="K40" s="24">
        <f t="shared" si="7"/>
        <v>6.7885048132746099E-3</v>
      </c>
      <c r="L40" s="24">
        <f t="shared" si="7"/>
        <v>9.243159559615256E-3</v>
      </c>
      <c r="M40" s="24">
        <f t="shared" si="7"/>
        <v>8.8571957937357941E-3</v>
      </c>
      <c r="N40" s="6"/>
      <c r="O40" s="25" t="s">
        <v>36</v>
      </c>
      <c r="P40" s="26">
        <f t="shared" si="2"/>
        <v>-7.1785110825578841E-2</v>
      </c>
      <c r="Q40" s="26">
        <f t="shared" si="3"/>
        <v>-5.8315059180013354E-2</v>
      </c>
      <c r="R40" s="26">
        <f t="shared" si="4"/>
        <v>-6.2953890633457271E-2</v>
      </c>
      <c r="S40" s="26">
        <f t="shared" si="5"/>
        <v>-6.2788828611613418E-2</v>
      </c>
      <c r="T40" s="26">
        <f t="shared" si="6"/>
        <v>-6.2942900137699695E-2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0.16244101028185337</v>
      </c>
      <c r="J41" s="24">
        <f t="shared" si="7"/>
        <v>0.13154767788803912</v>
      </c>
      <c r="K41" s="24">
        <f t="shared" si="7"/>
        <v>7.8294716079336843E-2</v>
      </c>
      <c r="L41" s="24">
        <f t="shared" si="7"/>
        <v>0.11046583514937945</v>
      </c>
      <c r="M41" s="24">
        <f t="shared" si="7"/>
        <v>0.1063386405495593</v>
      </c>
      <c r="N41" s="6"/>
      <c r="O41" s="25" t="s">
        <v>38</v>
      </c>
      <c r="P41" s="26">
        <f t="shared" si="2"/>
        <v>0.13269732723488067</v>
      </c>
      <c r="Q41" s="26">
        <f t="shared" si="3"/>
        <v>3.3072014622012501E-2</v>
      </c>
      <c r="R41" s="26">
        <f t="shared" si="4"/>
        <v>6.2863126342785736E-2</v>
      </c>
      <c r="S41" s="26">
        <f t="shared" si="5"/>
        <v>3.4380586595776468E-2</v>
      </c>
      <c r="T41" s="26">
        <f t="shared" si="6"/>
        <v>3.3603761855053156E-2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0.24447083255505753</v>
      </c>
      <c r="J42" s="24">
        <f t="shared" si="7"/>
        <v>0.16901708927537518</v>
      </c>
      <c r="K42" s="24">
        <f t="shared" si="7"/>
        <v>0.17899050184904569</v>
      </c>
      <c r="L42" s="24">
        <f t="shared" si="7"/>
        <v>0.17278970443527406</v>
      </c>
      <c r="M42" s="24">
        <f t="shared" si="7"/>
        <v>0.14162410758265048</v>
      </c>
      <c r="N42" s="6"/>
      <c r="O42" s="25" t="s">
        <v>40</v>
      </c>
      <c r="P42" s="26">
        <f t="shared" si="2"/>
        <v>0.29278278595647722</v>
      </c>
      <c r="Q42" s="26">
        <f t="shared" si="3"/>
        <v>0.12421246300618732</v>
      </c>
      <c r="R42" s="26">
        <f t="shared" si="4"/>
        <v>3.6762304925955155E-2</v>
      </c>
      <c r="S42" s="26">
        <f t="shared" si="5"/>
        <v>7.2714615436134417E-2</v>
      </c>
      <c r="T42" s="26">
        <f t="shared" si="6"/>
        <v>3.4266114834963717E-2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1.6203029596730218E-2</v>
      </c>
      <c r="J43" s="24">
        <f t="shared" si="7"/>
        <v>1.3123599177713535E-2</v>
      </c>
      <c r="K43" s="24">
        <f t="shared" si="7"/>
        <v>7.8013014713777026E-3</v>
      </c>
      <c r="L43" s="24">
        <f t="shared" si="7"/>
        <v>1.1019278424341715E-2</v>
      </c>
      <c r="M43" s="24">
        <f t="shared" si="7"/>
        <v>1.0604103360634413E-2</v>
      </c>
      <c r="N43" s="6"/>
      <c r="O43" s="2" t="s">
        <v>49</v>
      </c>
      <c r="P43" s="26">
        <f>P24/I11</f>
        <v>0.28340256623777615</v>
      </c>
      <c r="Q43" s="26">
        <f>Q24/J11</f>
        <v>0.18299656439192966</v>
      </c>
      <c r="R43" s="26">
        <f>R24/K11</f>
        <v>0.12662504053953835</v>
      </c>
      <c r="S43" s="26">
        <f>S24/L11</f>
        <v>0.13698139647506735</v>
      </c>
      <c r="T43" s="26">
        <f>T24/M11</f>
        <v>0.10923530509230657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6.9977537210555413E-2</v>
      </c>
      <c r="J44" s="24">
        <f t="shared" si="7"/>
        <v>5.7369409571688817E-2</v>
      </c>
      <c r="K44" s="24">
        <f t="shared" si="7"/>
        <v>6.2953890633457271E-2</v>
      </c>
      <c r="L44" s="24">
        <f t="shared" si="7"/>
        <v>6.2788828611613418E-2</v>
      </c>
      <c r="M44" s="24">
        <f t="shared" si="7"/>
        <v>6.2942900137699695E-2</v>
      </c>
      <c r="N44" s="6"/>
      <c r="O44" s="2" t="s">
        <v>50</v>
      </c>
      <c r="P44" s="26">
        <f>P24/B16</f>
        <v>0.32063277849098798</v>
      </c>
      <c r="Q44" s="26">
        <f>Q24/C16</f>
        <v>0.26094063735163653</v>
      </c>
      <c r="R44" s="26">
        <f>R24/D16</f>
        <v>0.18923257735471721</v>
      </c>
      <c r="S44" s="26">
        <f>S24/E16</f>
        <v>0.18690616468388388</v>
      </c>
      <c r="T44" s="26">
        <f>T24/F16</f>
        <v>0.15345103402243979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1.9173845195692182E-3</v>
      </c>
      <c r="J45" s="24">
        <f t="shared" si="7"/>
        <v>1.0162581124127732E-3</v>
      </c>
      <c r="K45" s="24">
        <f t="shared" si="7"/>
        <v>1.0603925666259704E-3</v>
      </c>
      <c r="L45" s="24">
        <f t="shared" si="7"/>
        <v>1.1727021220692107E-3</v>
      </c>
      <c r="M45" s="24">
        <f t="shared" si="7"/>
        <v>1.2020480005784291E-3</v>
      </c>
      <c r="N45" s="6"/>
      <c r="O45" s="2" t="s">
        <v>51</v>
      </c>
      <c r="P45" s="26">
        <f>P24/B20</f>
        <v>0.41762786724128492</v>
      </c>
      <c r="Q45" s="26">
        <f>Q24/C20</f>
        <v>0.33220352328608088</v>
      </c>
      <c r="R45" s="26">
        <f>R24/D20</f>
        <v>0.24134420948368523</v>
      </c>
      <c r="S45" s="26">
        <f>S24/E20</f>
        <v>0.23082023285163494</v>
      </c>
      <c r="T45" s="26">
        <f>T24/F20</f>
        <v>0.19896243409387007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0.31881389151005607</v>
      </c>
      <c r="J46" s="24">
        <f t="shared" si="7"/>
        <v>0.22905550030159919</v>
      </c>
      <c r="K46" s="24">
        <f t="shared" si="7"/>
        <v>0.18546963325692162</v>
      </c>
      <c r="L46" s="24">
        <f t="shared" si="7"/>
        <v>0.20827473042662917</v>
      </c>
      <c r="M46" s="24">
        <f t="shared" si="7"/>
        <v>0.17321369663329725</v>
      </c>
      <c r="N46" s="6"/>
      <c r="O46" s="2" t="s">
        <v>52</v>
      </c>
      <c r="P46" s="26">
        <f>P24/I22</f>
        <v>1.7446491236790567</v>
      </c>
      <c r="Q46" s="26">
        <f>Q24/J22</f>
        <v>1.3911044826475685</v>
      </c>
      <c r="R46" s="26">
        <f>R24/K22</f>
        <v>1.6172871795234292</v>
      </c>
      <c r="S46" s="26">
        <f>S24/L22</f>
        <v>1.2400340457285437</v>
      </c>
      <c r="T46" s="26">
        <f>T24/M22</f>
        <v>1.0272399997571651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1.3805357072620719</v>
      </c>
      <c r="Q47" s="26">
        <f>Q24/(C22-C20)</f>
        <v>1.216417184907052</v>
      </c>
      <c r="R47" s="26">
        <f>R24/(D22-D20)</f>
        <v>0.87639141060115067</v>
      </c>
      <c r="S47" s="26">
        <f>S24/(E22-E20)</f>
        <v>0.98241238522788155</v>
      </c>
      <c r="T47" s="26">
        <f>T24/(F22-F20)</f>
        <v>0.67084271622950298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>
        <f>P24/I25</f>
        <v>4.0499076923076922</v>
      </c>
      <c r="Q48" s="26">
        <f>Q24/J25</f>
        <v>3.1897934065934064</v>
      </c>
      <c r="R48" s="26">
        <f>R24/K25</f>
        <v>2.0113934065934065</v>
      </c>
      <c r="S48" s="26">
        <f>S24/L25</f>
        <v>2.1816205128205128</v>
      </c>
      <c r="T48" s="26">
        <f>T24/M25</f>
        <v>1.7354666666666667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5.419833026219619</v>
      </c>
      <c r="Q49" s="26">
        <f>Q24/(Q18*-1)</f>
        <v>5.3487676160150954</v>
      </c>
      <c r="R49" s="26">
        <f>R24/(R18*-1)</f>
        <v>1.3779903153532969</v>
      </c>
      <c r="S49" s="26">
        <f>S24/(S18*-1)</f>
        <v>1.5797103601930933</v>
      </c>
      <c r="T49" s="26">
        <f>T24/(T18*-1)</f>
        <v>1.1548615187212492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6.3727913859533136E-2</v>
      </c>
      <c r="J50" s="28">
        <f>LN(J13/K13)</f>
        <v>0.24572258881648598</v>
      </c>
      <c r="K50" s="28">
        <f>LN(K13/L13)</f>
        <v>0.12893749478081867</v>
      </c>
      <c r="L50" s="28">
        <f>LN(L13/M13)</f>
        <v>4.9592400827466979E-2</v>
      </c>
      <c r="O50" s="2"/>
      <c r="P50" s="12"/>
      <c r="Q50" s="12"/>
      <c r="R50" s="12"/>
    </row>
    <row r="51" spans="1:29">
      <c r="A51" s="29" t="s">
        <v>57</v>
      </c>
      <c r="B51" s="30">
        <f>B23/B17</f>
        <v>3.8842120540033642</v>
      </c>
      <c r="C51" s="30">
        <f>C23/C17</f>
        <v>4.13774185996804</v>
      </c>
      <c r="D51" s="30">
        <f>D23/D17</f>
        <v>3.5040920527281298</v>
      </c>
      <c r="E51" s="30">
        <f>E23/E17</f>
        <v>4.7486387442322817</v>
      </c>
      <c r="F51" s="30">
        <f>F23/F17</f>
        <v>3.8937954711720688</v>
      </c>
      <c r="H51" s="29" t="s">
        <v>58</v>
      </c>
      <c r="I51" s="63">
        <f>I13/I11</f>
        <v>0.43610808622739794</v>
      </c>
      <c r="J51" s="63">
        <f>J13/J11</f>
        <v>0.38338148160850205</v>
      </c>
      <c r="K51" s="63">
        <f>K13/K11</f>
        <v>0.32904656540175925</v>
      </c>
      <c r="L51" s="63">
        <f>L13/L11</f>
        <v>0.33656357706990619</v>
      </c>
      <c r="M51" s="63">
        <f>M13/M11</f>
        <v>0.32106560070444401</v>
      </c>
      <c r="O51" s="2" t="s">
        <v>59</v>
      </c>
      <c r="P51" s="32">
        <f>(P11-P24-P25)/B16</f>
        <v>-7.855042666751115E-2</v>
      </c>
      <c r="Q51" s="32">
        <f>(Q11-Q24-Q25)/C16</f>
        <v>-2.5535345457474413E-2</v>
      </c>
      <c r="R51" s="32">
        <f>(R11-R24-R25)/D16</f>
        <v>6.1931744402529874E-2</v>
      </c>
      <c r="S51" s="32">
        <f>(S11-S24-S25)/E16</f>
        <v>1.2748155392527724E-2</v>
      </c>
      <c r="T51" s="32">
        <f>(T11-T24-T25)/F16</f>
        <v>6.0030797581174661E-2</v>
      </c>
    </row>
    <row r="52" spans="1:29">
      <c r="A52" s="29" t="s">
        <v>60</v>
      </c>
      <c r="B52" s="31">
        <f>I20/B16</f>
        <v>0.19638093869288464</v>
      </c>
      <c r="C52" s="31">
        <f>J20/C16</f>
        <v>0.19860496625683924</v>
      </c>
      <c r="D52" s="31">
        <f>K20/D16</f>
        <v>0.12715113148668442</v>
      </c>
      <c r="E52" s="31">
        <f>L20/E16</f>
        <v>0.16333859673633866</v>
      </c>
      <c r="F52" s="31">
        <f>M20/F16</f>
        <v>0.1618242397640666</v>
      </c>
      <c r="G52" s="31"/>
      <c r="H52" s="29" t="s">
        <v>61</v>
      </c>
      <c r="I52" s="63">
        <f>I16/I11</f>
        <v>0.22798089505576402</v>
      </c>
      <c r="J52" s="63">
        <f>J16/J11</f>
        <v>0.20291068427710005</v>
      </c>
      <c r="K52" s="63">
        <f>K16/K11</f>
        <v>0.2034470506586499</v>
      </c>
      <c r="L52" s="63">
        <f>L16/L11</f>
        <v>0.18142107540841718</v>
      </c>
      <c r="M52" s="63">
        <f>M16/M11</f>
        <v>0.17808902772909119</v>
      </c>
      <c r="O52" s="6"/>
    </row>
    <row r="53" spans="1:29">
      <c r="A53" s="29" t="s">
        <v>62</v>
      </c>
      <c r="B53" s="31">
        <f>I20/B20</f>
        <v>0.25578842244120753</v>
      </c>
      <c r="C53" s="31">
        <f>J20/C20</f>
        <v>0.25284398092323973</v>
      </c>
      <c r="D53" s="31">
        <f>K20/D20</f>
        <v>0.16216652408684745</v>
      </c>
      <c r="E53" s="31">
        <f>L20/E20</f>
        <v>0.20171540620988335</v>
      </c>
      <c r="F53" s="31">
        <f>M20/F20</f>
        <v>0.20981901388908486</v>
      </c>
      <c r="H53" s="29" t="s">
        <v>11</v>
      </c>
      <c r="I53" s="63">
        <f>I17/I11</f>
        <v>4.0827586652376895E-2</v>
      </c>
      <c r="J53" s="63">
        <f>J17/J11</f>
        <v>4.1443661474588001E-2</v>
      </c>
      <c r="K53" s="63">
        <f>K17/K11</f>
        <v>3.9488000850085067E-2</v>
      </c>
      <c r="L53" s="63">
        <f>L17/L11</f>
        <v>3.6680911680911678E-2</v>
      </c>
      <c r="M53" s="63">
        <f>M17/M11</f>
        <v>2.9627707270970152E-2</v>
      </c>
      <c r="O53" s="6"/>
    </row>
    <row r="54" spans="1:29">
      <c r="A54" s="29" t="s">
        <v>63</v>
      </c>
      <c r="B54" s="30">
        <f>I11/B12</f>
        <v>5.7796247382781267</v>
      </c>
      <c r="C54" s="30">
        <f>J11/C12</f>
        <v>5.2024664147774979</v>
      </c>
      <c r="D54" s="30">
        <f>K11/D12</f>
        <v>5.1227269376669184</v>
      </c>
      <c r="E54" s="30">
        <f>L11/E12</f>
        <v>5.0347544427908604</v>
      </c>
      <c r="F54" s="30">
        <f>M11/F12</f>
        <v>5.2439039252526278</v>
      </c>
      <c r="H54" s="29" t="s">
        <v>64</v>
      </c>
      <c r="I54" s="63">
        <f>I25/I22</f>
        <v>0.43078737991801785</v>
      </c>
      <c r="J54" s="63">
        <f>J25/J22</f>
        <v>0.4361111537104912</v>
      </c>
      <c r="K54" s="63">
        <f>K25/K22</f>
        <v>0.80406308095766565</v>
      </c>
      <c r="L54" s="63">
        <f>L25/L22</f>
        <v>0.568400433733254</v>
      </c>
      <c r="M54" s="63">
        <f>M25/M22</f>
        <v>0.5919099568361047</v>
      </c>
      <c r="O54" s="6"/>
    </row>
    <row r="55" spans="1:29">
      <c r="A55" s="29" t="s">
        <v>65</v>
      </c>
      <c r="B55" s="31">
        <f>(B22-B20)/B16</f>
        <v>0.23225243418504435</v>
      </c>
      <c r="C55" s="31">
        <f>(C22-C20)/C16</f>
        <v>0.2145157439316967</v>
      </c>
      <c r="D55" s="31">
        <f>(D22-D20)/D16</f>
        <v>0.2159224463700703</v>
      </c>
      <c r="E55" s="31">
        <f>(E22-E20)/E16</f>
        <v>0.19025224793000642</v>
      </c>
      <c r="F55" s="31">
        <f>(F22-F20)/F16</f>
        <v>0.2287436835938492</v>
      </c>
      <c r="H55" s="29" t="s">
        <v>66</v>
      </c>
      <c r="I55" s="63">
        <f>I22/I11</f>
        <v>0.16244101028185337</v>
      </c>
      <c r="J55" s="63">
        <f>J22/J11</f>
        <v>0.13154767788803912</v>
      </c>
      <c r="K55" s="63">
        <f>K22/K11</f>
        <v>7.8294716079336843E-2</v>
      </c>
      <c r="L55" s="63">
        <f>L22/L11</f>
        <v>0.11046583514937945</v>
      </c>
      <c r="M55" s="63">
        <f>M22/M11</f>
        <v>0.1063386405495593</v>
      </c>
      <c r="N55" s="31"/>
      <c r="O55" s="6"/>
    </row>
    <row r="56" spans="1:29">
      <c r="A56" s="29" t="s">
        <v>67</v>
      </c>
      <c r="B56" s="31">
        <f>(B22-B20)/B20</f>
        <v>0.30251145627340537</v>
      </c>
      <c r="C56" s="31">
        <f>(C22-C20)/C20</f>
        <v>0.27309999185145106</v>
      </c>
      <c r="D56" s="31">
        <f>(D22-D20)/D20</f>
        <v>0.27538404252289278</v>
      </c>
      <c r="E56" s="31">
        <f>(E22-E20)/E20</f>
        <v>0.23495248667706242</v>
      </c>
      <c r="F56" s="31">
        <f>(F22-F20)/F20</f>
        <v>0.29658581554279373</v>
      </c>
      <c r="H56" s="33" t="s">
        <v>68</v>
      </c>
      <c r="I56" s="34">
        <f>I13/B16</f>
        <v>0.49339901633833283</v>
      </c>
      <c r="J56" s="34">
        <f>J13/C16</f>
        <v>0.54667588155086211</v>
      </c>
      <c r="K56" s="34">
        <f>K13/D16</f>
        <v>0.49173788514010319</v>
      </c>
      <c r="L56" s="34">
        <f>L13/E16</f>
        <v>0.45922883677036186</v>
      </c>
      <c r="M56" s="34">
        <f>M13/F16</f>
        <v>0.45102495365852774</v>
      </c>
      <c r="O56" s="6"/>
    </row>
    <row r="57" spans="1:29">
      <c r="A57" s="29" t="s">
        <v>69</v>
      </c>
      <c r="B57" s="30">
        <f>I11/B16</f>
        <v>1.1313686490120753</v>
      </c>
      <c r="C57" s="30">
        <f>J11/C16</f>
        <v>1.4259318923210578</v>
      </c>
      <c r="D57" s="30">
        <f>K11/D16</f>
        <v>1.4944325115191557</v>
      </c>
      <c r="E57" s="30">
        <f>L11/E16</f>
        <v>1.3644638578195805</v>
      </c>
      <c r="F57" s="30">
        <f>M11/F16</f>
        <v>1.4047750760870747</v>
      </c>
      <c r="H57" s="33" t="s">
        <v>70</v>
      </c>
      <c r="I57" s="35">
        <f ca="1">I25/$C$5</f>
        <v>3.086419606532782E-2</v>
      </c>
      <c r="J57" s="35">
        <f ca="1">J25/$C$5</f>
        <v>2.7006171557161843E-2</v>
      </c>
      <c r="K57" s="35">
        <f ca="1">K25/$C$5</f>
        <v>2.7006171557161843E-2</v>
      </c>
      <c r="L57" s="35">
        <f ca="1">L25/$C$5</f>
        <v>2.3148147048995867E-2</v>
      </c>
      <c r="M57" s="35">
        <f ca="1">M25/$C$5</f>
        <v>2.3148147048995867E-2</v>
      </c>
      <c r="O57" s="6"/>
    </row>
    <row r="58" spans="1:29">
      <c r="A58" s="29" t="s">
        <v>71</v>
      </c>
      <c r="B58" s="30">
        <f>B16/B20</f>
        <v>1.3025114562734053</v>
      </c>
      <c r="C58" s="30">
        <f>C16/C20</f>
        <v>1.273099991851451</v>
      </c>
      <c r="D58" s="30">
        <f>D16/D20</f>
        <v>1.2753840425228928</v>
      </c>
      <c r="E58" s="30">
        <f>E16/E20</f>
        <v>1.2349524866770625</v>
      </c>
      <c r="F58" s="30">
        <f>F16/F20</f>
        <v>1.2965858155427936</v>
      </c>
      <c r="H58" s="36" t="s">
        <v>72</v>
      </c>
      <c r="I58" s="37">
        <f ca="1">I22/$C$7/1000</f>
        <v>9.2853230769230777</v>
      </c>
      <c r="J58" s="37">
        <f ca="1">J22/$C$7/1000</f>
        <v>8.0254769230769227</v>
      </c>
      <c r="K58" s="37">
        <f ca="1">K22/$C$7/1000</f>
        <v>4.3528923076923078</v>
      </c>
      <c r="L58" s="37">
        <f ca="1">L22/$C$7/1000</f>
        <v>5.277969230769231</v>
      </c>
      <c r="M58" s="37">
        <f ca="1">M22/$C$7/1000</f>
        <v>5.0683384615384615</v>
      </c>
      <c r="O58" s="6"/>
    </row>
    <row r="59" spans="1:29">
      <c r="H59" s="36" t="s">
        <v>73</v>
      </c>
      <c r="I59" s="37">
        <f ca="1">B20/$C$7/1000</f>
        <v>38.789630769230769</v>
      </c>
      <c r="J59" s="37">
        <f ca="1">C20/$C$7/1000</f>
        <v>33.606738461538455</v>
      </c>
      <c r="K59" s="37">
        <f ca="1">D20/$C$7/1000</f>
        <v>29.169446153846156</v>
      </c>
      <c r="L59" s="37">
        <f ca="1">E20/$C$7/1000</f>
        <v>28.354800000000001</v>
      </c>
      <c r="M59" s="37">
        <f ca="1">F20/$C$7/1000</f>
        <v>26.167753846153847</v>
      </c>
      <c r="N59" s="65"/>
      <c r="O59" s="6"/>
    </row>
    <row r="60" spans="1:29">
      <c r="H60" s="33" t="s">
        <v>74</v>
      </c>
      <c r="I60" s="38">
        <f ca="1">SQRT(22.5*I58*I59)</f>
        <v>90.021779080700455</v>
      </c>
      <c r="J60" s="38">
        <f ca="1">SQRT(22.5*J58*J59)</f>
        <v>77.900432217135787</v>
      </c>
      <c r="K60" s="38">
        <f ca="1">SQRT(22.5*K58*K59)</f>
        <v>53.44958185160332</v>
      </c>
      <c r="L60" s="38">
        <f ca="1">SQRT(22.5*L58*L59)</f>
        <v>58.028050490722556</v>
      </c>
      <c r="M60" s="38">
        <f ca="1">SQRT(22.5*M58*M59)</f>
        <v>54.626991941594056</v>
      </c>
      <c r="O60" s="6"/>
    </row>
    <row r="61" spans="1:29">
      <c r="H61" s="33" t="s">
        <v>75</v>
      </c>
      <c r="I61" s="39">
        <f ca="1">I58-(B20*0.08/1000/$C$7)</f>
        <v>6.1821526153846165</v>
      </c>
      <c r="J61" s="39">
        <f ca="1">J58-(C20*0.08/1000/$C$7)</f>
        <v>5.3369378461538455</v>
      </c>
      <c r="K61" s="39">
        <f ca="1">K58-(D20*0.08/1000/$C$7)</f>
        <v>2.0193366153846157</v>
      </c>
      <c r="L61" s="39">
        <f ca="1">L58-(E20*0.08/1000/$C$7)</f>
        <v>3.0095852307692312</v>
      </c>
      <c r="M61" s="39">
        <f ca="1">M58-(F20*0.08/1000/$C$7)</f>
        <v>2.9749181538461533</v>
      </c>
      <c r="O61" s="6"/>
    </row>
    <row r="62" spans="1:29">
      <c r="H62" s="2" t="s">
        <v>76</v>
      </c>
      <c r="I62" s="69">
        <v>4</v>
      </c>
      <c r="J62" s="69">
        <v>4</v>
      </c>
      <c r="K62" s="69">
        <v>3.5</v>
      </c>
      <c r="L62" s="69">
        <v>3.5</v>
      </c>
      <c r="M62" s="69">
        <v>3</v>
      </c>
      <c r="O62" s="6"/>
    </row>
    <row r="63" spans="1:29">
      <c r="A63" s="2"/>
      <c r="H63" s="6"/>
      <c r="I63" s="28"/>
      <c r="J63" s="28"/>
      <c r="O63" s="6"/>
    </row>
    <row r="64" spans="1:29">
      <c r="H64" s="2" t="s">
        <v>85</v>
      </c>
      <c r="I64" s="47"/>
      <c r="J64" s="47">
        <f>SUM(J62:L62)</f>
        <v>11</v>
      </c>
      <c r="O64" s="6"/>
    </row>
    <row r="65" spans="8:15">
      <c r="H65" s="6"/>
      <c r="O65" s="6"/>
    </row>
    <row r="66" spans="8:15">
      <c r="H66" s="6"/>
      <c r="O66" s="6"/>
    </row>
    <row r="67" spans="8:15">
      <c r="H67" s="6"/>
      <c r="O67" s="6"/>
    </row>
    <row r="68" spans="8:15">
      <c r="H68" s="6"/>
      <c r="O68" s="6"/>
    </row>
    <row r="69" spans="8:15">
      <c r="H69" s="6"/>
      <c r="O69" s="6"/>
    </row>
    <row r="70" spans="8:15">
      <c r="H70" s="6"/>
      <c r="O70" s="6"/>
    </row>
    <row r="71" spans="8:15">
      <c r="H71" s="6"/>
      <c r="O71" s="6"/>
    </row>
    <row r="72" spans="8:15">
      <c r="H72" s="6"/>
      <c r="O72" s="6"/>
    </row>
    <row r="73" spans="8:15">
      <c r="H73" s="6"/>
      <c r="O73" s="6"/>
    </row>
    <row r="74" spans="8:15">
      <c r="H74" s="2" t="s">
        <v>86</v>
      </c>
      <c r="I74" s="6"/>
      <c r="J74" s="6">
        <f ca="1">J59*$C$7/$C$5</f>
        <v>2.5931124124827908E-4</v>
      </c>
      <c r="K74" s="6">
        <f ca="1">K59*$C$7/$C$5</f>
        <v>2.2507287630233255E-4</v>
      </c>
      <c r="L74" s="6">
        <f ca="1">L59*$C$7/$C$5</f>
        <v>2.1878702664828933E-4</v>
      </c>
      <c r="M74" s="6">
        <f ca="1">M59*$C$7/$C$5</f>
        <v>2.0191167132423211E-4</v>
      </c>
      <c r="O74" s="6"/>
    </row>
    <row r="75" spans="8:15">
      <c r="H75" s="2" t="s">
        <v>87</v>
      </c>
      <c r="O75" s="6"/>
    </row>
    <row r="76" spans="8:15">
      <c r="H76" s="2" t="s">
        <v>88</v>
      </c>
      <c r="O76" s="6"/>
    </row>
    <row r="77" spans="8:15">
      <c r="H77" s="2" t="s">
        <v>89</v>
      </c>
      <c r="I77" s="28"/>
      <c r="J77" s="28">
        <f ca="1">(J15-J16)/$C$6</f>
        <v>8.5051808348960369E-5</v>
      </c>
      <c r="K77" s="28">
        <f ca="1">(K15-K16)/$C$6</f>
        <v>5.3809595072607597E-5</v>
      </c>
      <c r="L77" s="28">
        <f ca="1">(L15-L16)/$C$6</f>
        <v>5.7347188501314206E-5</v>
      </c>
      <c r="M77" s="28">
        <f ca="1">(M15-M16)/$C$6</f>
        <v>5.277355334904034E-5</v>
      </c>
      <c r="O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opLeftCell="H1" zoomScaleNormal="100" workbookViewId="0">
      <selection activeCell="O10" sqref="O10"/>
    </sheetView>
  </sheetViews>
  <sheetFormatPr defaultRowHeight="15"/>
  <cols>
    <col min="1" max="14" width="15.140625"/>
    <col min="15" max="15" width="23.140625"/>
    <col min="16" max="29" width="15.140625"/>
    <col min="30" max="1025" width="14.42578125"/>
  </cols>
  <sheetData>
    <row r="1" spans="1:20">
      <c r="A1" s="2" t="s">
        <v>82</v>
      </c>
      <c r="B1" s="1">
        <v>2330</v>
      </c>
      <c r="C1" s="1">
        <v>2330</v>
      </c>
      <c r="O1" s="6"/>
    </row>
    <row r="2" spans="1:20">
      <c r="A2" s="2" t="s">
        <v>83</v>
      </c>
      <c r="B2" t="str">
        <f ca="1">IFERROR(__xludf.dummyfunction("GoogleFinance(""TADAWUL:""&amp;B1,""eps"")"),"3.75")</f>
        <v>3.75</v>
      </c>
      <c r="C2" t="str">
        <f ca="1">IFERROR(__xludf.dummyfunction("GoogleFinance(""TADAWUL:""&amp;B1,""eps"")"),"3.75")</f>
        <v>3.75</v>
      </c>
      <c r="O2" s="6"/>
    </row>
    <row r="3" spans="1:20">
      <c r="A3" s="2"/>
      <c r="O3" s="6"/>
    </row>
    <row r="4" spans="1:20">
      <c r="A4" s="2"/>
      <c r="O4" s="6"/>
    </row>
    <row r="5" spans="1:20">
      <c r="A5" s="2" t="s">
        <v>0</v>
      </c>
      <c r="B5" s="3" t="str">
        <f ca="1">IFERROR(__xludf.dummyfunction("GoogleFinance(""TADAWUL:""&amp;B1,""marketcap"")/1000"),"9,154,809.32")</f>
        <v>9,154,809.32</v>
      </c>
      <c r="C5" s="3" t="str">
        <f ca="1">IFERROR(__xludf.dummyfunction("GoogleFinance(""TADAWUL:""&amp;B1,""marketcap"")/1000"),"9,154,809.32")</f>
        <v>9,154,809.32</v>
      </c>
      <c r="O5" s="6"/>
    </row>
    <row r="6" spans="1:20">
      <c r="A6" s="2" t="s">
        <v>1</v>
      </c>
      <c r="B6" s="4">
        <f ca="1">B5+(B22-B20)-I27</f>
        <v>10098250.32</v>
      </c>
      <c r="C6" s="4" t="e">
        <f ca="1">C5+(C22-C20)-O23</f>
        <v>#VALUE!</v>
      </c>
      <c r="D6" s="6" t="e">
        <f ca="1">C6/J28</f>
        <v>#VALUE!</v>
      </c>
      <c r="O6" s="6"/>
    </row>
    <row r="7" spans="1:20">
      <c r="A7" s="2"/>
      <c r="B7" s="5" t="str">
        <f ca="1">IFERROR(__xludf.dummyfunction("GoogleFinance(""TADAWUL:""&amp;B1,""shares"")/1000000"),"196.666154")</f>
        <v>196.666154</v>
      </c>
      <c r="C7" s="5" t="str">
        <f ca="1">IFERROR(__xludf.dummyfunction("GoogleFinance(""TADAWUL:""&amp;B1,""shares"")/1000000"),"196.666154")</f>
        <v>196.666154</v>
      </c>
      <c r="D7" s="6">
        <f ca="1">J11/C7/1000</f>
        <v>12.086604388470423</v>
      </c>
      <c r="E7" s="6">
        <f ca="1">47/D7</f>
        <v>3.8886024965650354</v>
      </c>
      <c r="O7" s="6"/>
    </row>
    <row r="8" spans="1:20">
      <c r="O8" s="6"/>
    </row>
    <row r="9" spans="1:20">
      <c r="O9" s="6"/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9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9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9">
        <v>41274</v>
      </c>
    </row>
    <row r="11" spans="1:20">
      <c r="A11" s="10" t="s">
        <v>6</v>
      </c>
      <c r="B11" s="11">
        <v>944430</v>
      </c>
      <c r="C11" s="11">
        <v>328699</v>
      </c>
      <c r="D11" s="11">
        <v>1265359</v>
      </c>
      <c r="E11" s="11">
        <v>828644</v>
      </c>
      <c r="F11" s="12">
        <v>766078</v>
      </c>
      <c r="H11" s="10" t="s">
        <v>7</v>
      </c>
      <c r="I11" s="11">
        <v>2139372</v>
      </c>
      <c r="J11" s="11">
        <v>2377026</v>
      </c>
      <c r="K11" s="11">
        <v>3036376</v>
      </c>
      <c r="L11" s="11">
        <v>2785602</v>
      </c>
      <c r="M11" s="12">
        <v>2472436</v>
      </c>
      <c r="O11" s="10" t="s">
        <v>8</v>
      </c>
      <c r="P11" s="11">
        <v>730660</v>
      </c>
      <c r="Q11" s="11">
        <v>713025</v>
      </c>
      <c r="R11" s="11">
        <v>750953</v>
      </c>
      <c r="S11" s="11">
        <v>556861</v>
      </c>
      <c r="T11" s="12">
        <v>328237</v>
      </c>
    </row>
    <row r="12" spans="1:20">
      <c r="A12" s="10" t="s">
        <v>9</v>
      </c>
      <c r="B12" s="11">
        <v>116685</v>
      </c>
      <c r="C12" s="11">
        <v>124291</v>
      </c>
      <c r="D12" s="11">
        <v>123348</v>
      </c>
      <c r="E12" s="11">
        <v>145195</v>
      </c>
      <c r="F12" s="12">
        <v>140748</v>
      </c>
      <c r="H12" s="10" t="s">
        <v>10</v>
      </c>
      <c r="I12" s="11">
        <v>1381313</v>
      </c>
      <c r="J12" s="13">
        <v>-1592875</v>
      </c>
      <c r="K12" s="11">
        <v>2255642</v>
      </c>
      <c r="L12" s="11">
        <v>2174152</v>
      </c>
      <c r="M12" s="12">
        <v>2085936</v>
      </c>
      <c r="O12" s="10" t="s">
        <v>11</v>
      </c>
      <c r="P12" s="11">
        <v>198305</v>
      </c>
      <c r="Q12" s="11">
        <v>210330</v>
      </c>
      <c r="R12" s="11">
        <v>220255</v>
      </c>
      <c r="S12" s="11">
        <v>207631</v>
      </c>
      <c r="T12" s="12">
        <v>197270</v>
      </c>
    </row>
    <row r="13" spans="1:20">
      <c r="A13" s="10" t="s">
        <v>12</v>
      </c>
      <c r="B13" s="11">
        <v>1239419</v>
      </c>
      <c r="C13" s="11">
        <v>1222758</v>
      </c>
      <c r="D13" s="11">
        <v>223252</v>
      </c>
      <c r="E13" s="11">
        <v>1900</v>
      </c>
      <c r="F13" s="45">
        <v>0</v>
      </c>
      <c r="H13" s="10" t="s">
        <v>13</v>
      </c>
      <c r="I13" s="11">
        <v>758059</v>
      </c>
      <c r="J13" s="11">
        <v>784151</v>
      </c>
      <c r="K13" s="11">
        <v>780734</v>
      </c>
      <c r="L13" s="11">
        <v>611450</v>
      </c>
      <c r="M13" s="12">
        <v>386500</v>
      </c>
      <c r="O13" s="10" t="s">
        <v>14</v>
      </c>
      <c r="P13" s="13">
        <v>-110768</v>
      </c>
      <c r="Q13" s="13">
        <v>-23746</v>
      </c>
      <c r="R13" s="11">
        <v>67942</v>
      </c>
      <c r="S13" s="11">
        <v>16770</v>
      </c>
      <c r="T13" s="12">
        <v>60518</v>
      </c>
    </row>
    <row r="14" spans="1:20">
      <c r="A14" s="10" t="s">
        <v>15</v>
      </c>
      <c r="B14" s="11">
        <v>1925854</v>
      </c>
      <c r="C14" s="11">
        <v>2179171</v>
      </c>
      <c r="D14" s="11">
        <v>2169059</v>
      </c>
      <c r="E14" s="11">
        <v>2162605</v>
      </c>
      <c r="F14" s="12">
        <v>2215248</v>
      </c>
      <c r="H14" s="10" t="s">
        <v>16</v>
      </c>
      <c r="I14" s="11">
        <v>90343</v>
      </c>
      <c r="J14" s="18" t="s">
        <v>84</v>
      </c>
      <c r="K14" s="11">
        <v>29055</v>
      </c>
      <c r="L14" s="11">
        <v>6074</v>
      </c>
      <c r="M14" s="12">
        <v>3278</v>
      </c>
      <c r="O14" s="10" t="s">
        <v>9</v>
      </c>
      <c r="P14" s="11">
        <v>7606</v>
      </c>
      <c r="Q14" s="13">
        <v>-943</v>
      </c>
      <c r="R14" s="11">
        <v>21847</v>
      </c>
      <c r="S14" s="13">
        <v>-4447</v>
      </c>
      <c r="T14" s="12">
        <v>15089</v>
      </c>
    </row>
    <row r="15" spans="1:20">
      <c r="A15" s="10" t="s">
        <v>17</v>
      </c>
      <c r="B15" s="11">
        <v>165844</v>
      </c>
      <c r="C15" s="11">
        <v>31134</v>
      </c>
      <c r="D15" s="11">
        <v>49485</v>
      </c>
      <c r="E15" s="11">
        <v>86680</v>
      </c>
      <c r="F15" s="12">
        <v>133092</v>
      </c>
      <c r="H15" s="10" t="s">
        <v>18</v>
      </c>
      <c r="I15" s="11">
        <v>848402</v>
      </c>
      <c r="J15" s="11">
        <v>784151</v>
      </c>
      <c r="K15" s="11">
        <v>809789</v>
      </c>
      <c r="L15" s="11">
        <v>617524</v>
      </c>
      <c r="M15" s="12">
        <v>389778</v>
      </c>
      <c r="O15" s="10" t="s">
        <v>19</v>
      </c>
      <c r="P15" s="13">
        <v>-14745</v>
      </c>
      <c r="Q15" s="11">
        <v>7014</v>
      </c>
      <c r="R15" s="13">
        <v>-11152</v>
      </c>
      <c r="S15" s="11">
        <v>2607</v>
      </c>
      <c r="T15" s="12">
        <v>10449</v>
      </c>
    </row>
    <row r="16" spans="1:20">
      <c r="A16" s="10" t="s">
        <v>20</v>
      </c>
      <c r="B16" s="11">
        <v>4392232</v>
      </c>
      <c r="C16" s="11">
        <v>3886053</v>
      </c>
      <c r="D16" s="11">
        <v>3830503</v>
      </c>
      <c r="E16" s="11">
        <v>3225024</v>
      </c>
      <c r="F16" s="12">
        <v>3255166</v>
      </c>
      <c r="H16" s="10" t="s">
        <v>21</v>
      </c>
      <c r="I16" s="11">
        <v>43849</v>
      </c>
      <c r="J16" s="13">
        <v>-41636</v>
      </c>
      <c r="K16" s="11">
        <v>45620</v>
      </c>
      <c r="L16" s="11">
        <v>45945</v>
      </c>
      <c r="M16" s="12">
        <v>40099</v>
      </c>
      <c r="O16" s="10" t="s">
        <v>22</v>
      </c>
      <c r="P16" s="13">
        <v>-10623</v>
      </c>
      <c r="Q16" s="13">
        <v>-53236</v>
      </c>
      <c r="R16" s="13">
        <v>-69415</v>
      </c>
      <c r="S16" s="13">
        <v>-2413</v>
      </c>
      <c r="T16" s="14">
        <v>-956</v>
      </c>
    </row>
    <row r="17" spans="1:29">
      <c r="A17" s="10" t="s">
        <v>23</v>
      </c>
      <c r="B17" s="11">
        <v>294372</v>
      </c>
      <c r="C17" s="11">
        <v>283095</v>
      </c>
      <c r="D17" s="11">
        <v>327235</v>
      </c>
      <c r="E17" s="11">
        <v>487483</v>
      </c>
      <c r="F17" s="12">
        <v>690616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>
        <v>0</v>
      </c>
      <c r="O17" s="10" t="s">
        <v>24</v>
      </c>
      <c r="P17" s="13">
        <v>-19898</v>
      </c>
      <c r="Q17" s="13">
        <v>-8013</v>
      </c>
      <c r="R17" s="13">
        <v>-47305</v>
      </c>
      <c r="S17" s="13">
        <v>-15679</v>
      </c>
      <c r="T17" s="14">
        <v>-20745</v>
      </c>
    </row>
    <row r="18" spans="1:29">
      <c r="A18" s="10" t="s">
        <v>25</v>
      </c>
      <c r="B18" s="11">
        <v>1069192</v>
      </c>
      <c r="C18" s="11">
        <v>1093997</v>
      </c>
      <c r="D18" s="11">
        <v>1126240</v>
      </c>
      <c r="E18" s="11">
        <v>483491</v>
      </c>
      <c r="F18" s="12">
        <v>521918</v>
      </c>
      <c r="H18" s="10" t="s">
        <v>26</v>
      </c>
      <c r="I18" s="11">
        <v>73893</v>
      </c>
      <c r="J18" s="13">
        <v>-29490</v>
      </c>
      <c r="K18" s="11">
        <v>13216</v>
      </c>
      <c r="L18" s="11">
        <v>14718</v>
      </c>
      <c r="M18" s="12">
        <v>21442</v>
      </c>
      <c r="O18" s="10" t="s">
        <v>27</v>
      </c>
      <c r="P18" s="13">
        <v>-122390</v>
      </c>
      <c r="Q18" s="13">
        <v>-204475</v>
      </c>
      <c r="R18" s="13">
        <v>-168780</v>
      </c>
      <c r="S18" s="13">
        <v>-110502</v>
      </c>
      <c r="T18" s="14">
        <v>-96969</v>
      </c>
    </row>
    <row r="19" spans="1:29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45"/>
      <c r="H19" s="10" t="s">
        <v>29</v>
      </c>
      <c r="I19" s="11">
        <v>117742</v>
      </c>
      <c r="J19" s="13">
        <v>-71126</v>
      </c>
      <c r="K19" s="11">
        <v>58836</v>
      </c>
      <c r="L19" s="11">
        <v>60663</v>
      </c>
      <c r="M19" s="12">
        <v>61541</v>
      </c>
      <c r="O19" s="10" t="s">
        <v>30</v>
      </c>
      <c r="P19" s="11">
        <v>249574</v>
      </c>
      <c r="Q19" s="13">
        <v>-916312</v>
      </c>
      <c r="R19" s="13">
        <v>-391412</v>
      </c>
      <c r="S19" s="13">
        <v>-317</v>
      </c>
      <c r="T19" s="14">
        <v>-75624</v>
      </c>
    </row>
    <row r="20" spans="1:29">
      <c r="A20" s="10" t="s">
        <v>31</v>
      </c>
      <c r="B20" s="11">
        <v>3028668</v>
      </c>
      <c r="C20" s="11">
        <v>2508961</v>
      </c>
      <c r="D20" s="11">
        <v>2377028</v>
      </c>
      <c r="E20" s="11">
        <v>2254050</v>
      </c>
      <c r="F20" s="12">
        <v>2042632</v>
      </c>
      <c r="H20" s="10" t="s">
        <v>32</v>
      </c>
      <c r="I20" s="11">
        <v>730660</v>
      </c>
      <c r="J20" s="11">
        <v>713025</v>
      </c>
      <c r="K20" s="11">
        <v>750953</v>
      </c>
      <c r="L20" s="11">
        <v>556861</v>
      </c>
      <c r="M20" s="12">
        <v>328237</v>
      </c>
      <c r="O20" s="10" t="s">
        <v>33</v>
      </c>
      <c r="P20" s="13">
        <v>-40000</v>
      </c>
      <c r="Q20" s="13">
        <v>-30000</v>
      </c>
      <c r="R20" s="15"/>
      <c r="S20" s="15"/>
      <c r="T20" s="17">
        <v>0</v>
      </c>
    </row>
    <row r="21" spans="1:29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8" t="s">
        <v>84</v>
      </c>
      <c r="J21" s="18" t="s">
        <v>84</v>
      </c>
      <c r="K21" s="18" t="s">
        <v>84</v>
      </c>
      <c r="L21" s="18" t="s">
        <v>84</v>
      </c>
      <c r="M21" s="45">
        <v>0</v>
      </c>
      <c r="O21" s="10" t="s">
        <v>36</v>
      </c>
      <c r="P21" s="13">
        <v>-499719</v>
      </c>
      <c r="Q21" s="13">
        <v>-492664</v>
      </c>
      <c r="R21" s="13">
        <v>-32822</v>
      </c>
      <c r="S21" s="13">
        <v>-568911</v>
      </c>
      <c r="T21" s="14">
        <v>-431451</v>
      </c>
    </row>
    <row r="22" spans="1:29">
      <c r="A22" s="10" t="s">
        <v>37</v>
      </c>
      <c r="B22" s="11">
        <v>4392232</v>
      </c>
      <c r="C22" s="11">
        <v>3886053</v>
      </c>
      <c r="D22" s="11">
        <v>3830503</v>
      </c>
      <c r="E22" s="11">
        <v>3225024</v>
      </c>
      <c r="F22" s="12">
        <v>3255166</v>
      </c>
      <c r="H22" s="10" t="s">
        <v>8</v>
      </c>
      <c r="I22" s="11">
        <v>730660</v>
      </c>
      <c r="J22" s="11">
        <v>713025</v>
      </c>
      <c r="K22" s="11">
        <v>750953</v>
      </c>
      <c r="L22" s="11">
        <v>556861</v>
      </c>
      <c r="M22" s="12">
        <v>328237</v>
      </c>
      <c r="O22" s="10" t="s">
        <v>38</v>
      </c>
      <c r="P22" s="11">
        <v>84984</v>
      </c>
      <c r="Q22" s="11">
        <v>884004</v>
      </c>
      <c r="R22" s="11">
        <v>543893</v>
      </c>
      <c r="S22" s="11">
        <v>462293</v>
      </c>
      <c r="T22" s="12">
        <v>476475</v>
      </c>
    </row>
    <row r="23" spans="1:29">
      <c r="H23" s="10" t="s">
        <v>39</v>
      </c>
      <c r="I23" s="11">
        <v>612810</v>
      </c>
      <c r="J23" s="11">
        <v>487392</v>
      </c>
      <c r="K23" s="11">
        <v>407360</v>
      </c>
      <c r="L23" s="11">
        <v>251628</v>
      </c>
      <c r="M23" s="12">
        <v>496342</v>
      </c>
      <c r="O23" s="10" t="s">
        <v>40</v>
      </c>
      <c r="P23" s="11">
        <v>452986</v>
      </c>
      <c r="Q23" s="11">
        <v>84984</v>
      </c>
      <c r="R23" s="11">
        <v>884004</v>
      </c>
      <c r="S23" s="11">
        <v>543893</v>
      </c>
      <c r="T23" s="12">
        <v>462293</v>
      </c>
    </row>
    <row r="24" spans="1:29">
      <c r="H24" s="10" t="s">
        <v>41</v>
      </c>
      <c r="I24" s="11">
        <v>73066</v>
      </c>
      <c r="J24" s="11">
        <v>71303</v>
      </c>
      <c r="K24" s="11">
        <v>75095</v>
      </c>
      <c r="L24" s="11">
        <v>55686</v>
      </c>
      <c r="M24" s="12">
        <v>32824</v>
      </c>
      <c r="O24" s="2" t="s">
        <v>42</v>
      </c>
      <c r="P24" s="12">
        <f>SUM(P11:P17)</f>
        <v>780537</v>
      </c>
      <c r="Q24" s="12">
        <f>SUM(Q11:Q17)</f>
        <v>844431</v>
      </c>
      <c r="R24" s="12">
        <f>SUM(R11:R17)</f>
        <v>933125</v>
      </c>
      <c r="S24" s="12">
        <f>SUM(S11:S17)</f>
        <v>761330</v>
      </c>
      <c r="T24" s="12">
        <f>SUM(T11:T17)</f>
        <v>589862</v>
      </c>
    </row>
    <row r="25" spans="1:29">
      <c r="H25" s="10" t="s">
        <v>43</v>
      </c>
      <c r="I25" s="11">
        <v>496905</v>
      </c>
      <c r="J25" s="11">
        <v>491985</v>
      </c>
      <c r="K25" s="11">
        <v>573983</v>
      </c>
      <c r="L25" s="11">
        <v>327990</v>
      </c>
      <c r="M25" s="12">
        <v>305370</v>
      </c>
      <c r="O25" s="2" t="s">
        <v>44</v>
      </c>
      <c r="P25" s="12">
        <f>P18+P19</f>
        <v>127184</v>
      </c>
      <c r="Q25" s="12">
        <f>Q18+Q19</f>
        <v>-1120787</v>
      </c>
      <c r="R25" s="12">
        <f>R18+R19</f>
        <v>-560192</v>
      </c>
      <c r="S25" s="12">
        <f>S18+S19</f>
        <v>-110819</v>
      </c>
      <c r="T25" s="12">
        <f>T18+T19</f>
        <v>-172593</v>
      </c>
    </row>
    <row r="26" spans="1:29">
      <c r="H26" s="10" t="s">
        <v>45</v>
      </c>
      <c r="I26" s="11">
        <v>353376</v>
      </c>
      <c r="J26" s="11">
        <v>24319</v>
      </c>
      <c r="K26" s="11">
        <v>21843</v>
      </c>
      <c r="L26" s="11">
        <v>17453</v>
      </c>
      <c r="M26" s="12">
        <v>234757</v>
      </c>
      <c r="O26" s="2" t="s">
        <v>46</v>
      </c>
      <c r="P26" s="12">
        <f>P20+P21</f>
        <v>-539719</v>
      </c>
      <c r="Q26" s="12">
        <f>Q20+Q21</f>
        <v>-522664</v>
      </c>
      <c r="R26" s="12">
        <f>R20+R21</f>
        <v>-32822</v>
      </c>
      <c r="S26" s="12">
        <f>S20+S21</f>
        <v>-568911</v>
      </c>
      <c r="T26" s="12">
        <f>T20+T21</f>
        <v>-431451</v>
      </c>
    </row>
    <row r="27" spans="1:29">
      <c r="H27" s="10" t="s">
        <v>47</v>
      </c>
      <c r="I27" s="11">
        <v>420123</v>
      </c>
      <c r="J27" s="11">
        <v>612810</v>
      </c>
      <c r="K27" s="11">
        <v>487392</v>
      </c>
      <c r="L27" s="11">
        <v>407360</v>
      </c>
      <c r="M27" s="12">
        <v>251628</v>
      </c>
      <c r="O27" s="2" t="s">
        <v>48</v>
      </c>
      <c r="P27" s="12">
        <f>P24+P25+P26</f>
        <v>368002</v>
      </c>
      <c r="Q27" s="12">
        <f>Q24+Q25+Q26</f>
        <v>-799020</v>
      </c>
      <c r="R27" s="12">
        <f>R24+R25+R26</f>
        <v>340111</v>
      </c>
      <c r="S27" s="12">
        <f>S24+S25+S26</f>
        <v>81600</v>
      </c>
      <c r="T27" s="12">
        <f>T24+T25+T26</f>
        <v>-14182</v>
      </c>
    </row>
    <row r="28" spans="1:29">
      <c r="I28" s="4"/>
      <c r="J28" s="4">
        <f>J11-(J12+J16)</f>
        <v>4011537</v>
      </c>
      <c r="O28" s="2"/>
      <c r="P28" s="12"/>
      <c r="Q28" s="12"/>
      <c r="R28" s="12"/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>
        <v>42369</v>
      </c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0.21502279478861772</v>
      </c>
      <c r="C30" s="24">
        <f t="shared" si="0"/>
        <v>8.4584281274599188E-2</v>
      </c>
      <c r="D30" s="24">
        <f t="shared" si="0"/>
        <v>0.33033755619040112</v>
      </c>
      <c r="E30" s="24">
        <f t="shared" si="0"/>
        <v>0.2569419638427497</v>
      </c>
      <c r="F30" s="24">
        <f t="shared" si="0"/>
        <v>0.23534222217853099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0.34153013127216775</v>
      </c>
      <c r="Q30" s="26">
        <f t="shared" ref="Q30:Q42" si="3">Q11/J$11</f>
        <v>0.29996516655686561</v>
      </c>
      <c r="R30" s="26">
        <f t="shared" ref="R30:R42" si="4">R11/K$11</f>
        <v>0.2473188432526143</v>
      </c>
      <c r="S30" s="26">
        <f t="shared" ref="S30:S42" si="5">S11/L$11</f>
        <v>0.19990687829776113</v>
      </c>
      <c r="T30" s="26">
        <f t="shared" ref="T30:T42" si="6">T11/M$11</f>
        <v>0.13275854258714886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2.6566219635028386E-2</v>
      </c>
      <c r="C31" s="24">
        <f t="shared" si="0"/>
        <v>3.1983866406351126E-2</v>
      </c>
      <c r="D31" s="24">
        <f t="shared" si="0"/>
        <v>3.2201515049067965E-2</v>
      </c>
      <c r="E31" s="24">
        <f t="shared" si="0"/>
        <v>4.5021370383600247E-2</v>
      </c>
      <c r="F31" s="24">
        <f t="shared" si="0"/>
        <v>4.323834790606685E-2</v>
      </c>
      <c r="G31" s="6"/>
      <c r="H31" s="25" t="s">
        <v>10</v>
      </c>
      <c r="I31" s="24">
        <f t="shared" si="1"/>
        <v>0.64566283937529334</v>
      </c>
      <c r="J31" s="24">
        <f t="shared" si="1"/>
        <v>-0.67011256923567519</v>
      </c>
      <c r="K31" s="24">
        <f t="shared" si="1"/>
        <v>0.74287308291199772</v>
      </c>
      <c r="L31" s="24">
        <f t="shared" si="1"/>
        <v>0.78049628051674291</v>
      </c>
      <c r="M31" s="24">
        <f t="shared" si="1"/>
        <v>0.84367643894523459</v>
      </c>
      <c r="N31" s="6"/>
      <c r="O31" s="25" t="s">
        <v>11</v>
      </c>
      <c r="P31" s="26">
        <f t="shared" si="2"/>
        <v>9.2693089373891036E-2</v>
      </c>
      <c r="Q31" s="26">
        <f t="shared" si="3"/>
        <v>8.8484518049024283E-2</v>
      </c>
      <c r="R31" s="26">
        <f t="shared" si="4"/>
        <v>7.2538776488814294E-2</v>
      </c>
      <c r="S31" s="26">
        <f t="shared" si="5"/>
        <v>7.453720955111319E-2</v>
      </c>
      <c r="T31" s="26">
        <f t="shared" si="6"/>
        <v>7.978770734611533E-2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0.2821843199539551</v>
      </c>
      <c r="C32" s="24">
        <f t="shared" si="0"/>
        <v>0.31465293962794638</v>
      </c>
      <c r="D32" s="24">
        <f t="shared" si="0"/>
        <v>5.8282685067731314E-2</v>
      </c>
      <c r="E32" s="24">
        <f t="shared" si="0"/>
        <v>5.8914290250243104E-4</v>
      </c>
      <c r="F32" s="24">
        <f t="shared" si="0"/>
        <v>0</v>
      </c>
      <c r="G32" s="6"/>
      <c r="H32" s="25" t="s">
        <v>13</v>
      </c>
      <c r="I32" s="24">
        <f t="shared" si="1"/>
        <v>0.35433716062470672</v>
      </c>
      <c r="J32" s="24">
        <f t="shared" si="1"/>
        <v>0.32988743076432481</v>
      </c>
      <c r="K32" s="24">
        <f t="shared" si="1"/>
        <v>0.25712691708800228</v>
      </c>
      <c r="L32" s="24">
        <f t="shared" si="1"/>
        <v>0.21950371948325711</v>
      </c>
      <c r="M32" s="24">
        <f t="shared" si="1"/>
        <v>0.15632356105476541</v>
      </c>
      <c r="N32" s="6"/>
      <c r="O32" s="25" t="s">
        <v>14</v>
      </c>
      <c r="P32" s="26">
        <f t="shared" si="2"/>
        <v>-5.1775941724954797E-2</v>
      </c>
      <c r="Q32" s="26">
        <f t="shared" si="3"/>
        <v>-9.989793969439123E-3</v>
      </c>
      <c r="R32" s="26">
        <f t="shared" si="4"/>
        <v>2.2376016672506962E-2</v>
      </c>
      <c r="S32" s="26">
        <f t="shared" si="5"/>
        <v>6.0202426620888415E-3</v>
      </c>
      <c r="T32" s="26">
        <f t="shared" si="6"/>
        <v>2.4477074431855868E-2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0.43846818656209419</v>
      </c>
      <c r="C33" s="24">
        <f t="shared" si="0"/>
        <v>0.5607671845957839</v>
      </c>
      <c r="D33" s="24">
        <f t="shared" si="0"/>
        <v>0.56625957478691435</v>
      </c>
      <c r="E33" s="24">
        <f t="shared" si="0"/>
        <v>0.670570203508563</v>
      </c>
      <c r="F33" s="24">
        <f t="shared" si="0"/>
        <v>0.68053303579602387</v>
      </c>
      <c r="G33" s="6"/>
      <c r="H33" s="25" t="s">
        <v>16</v>
      </c>
      <c r="I33" s="24">
        <f t="shared" si="1"/>
        <v>4.2228747501603277E-2</v>
      </c>
      <c r="J33" s="24" t="e">
        <f t="shared" si="1"/>
        <v>#VALUE!</v>
      </c>
      <c r="K33" s="24">
        <f t="shared" si="1"/>
        <v>9.5689730125649783E-3</v>
      </c>
      <c r="L33" s="24">
        <f t="shared" si="1"/>
        <v>2.1804981472586535E-3</v>
      </c>
      <c r="M33" s="24">
        <f t="shared" si="1"/>
        <v>1.3258179382600803E-3</v>
      </c>
      <c r="N33" s="6"/>
      <c r="O33" s="25" t="s">
        <v>9</v>
      </c>
      <c r="P33" s="26">
        <f t="shared" si="2"/>
        <v>3.5552489235158727E-3</v>
      </c>
      <c r="Q33" s="26">
        <f t="shared" si="3"/>
        <v>-3.9671421347515763E-4</v>
      </c>
      <c r="R33" s="26">
        <f t="shared" si="4"/>
        <v>7.1950904631047008E-3</v>
      </c>
      <c r="S33" s="26">
        <f t="shared" si="5"/>
        <v>-1.5964233224990505E-3</v>
      </c>
      <c r="T33" s="26">
        <f t="shared" si="6"/>
        <v>6.102888001954348E-3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>
        <f t="shared" si="0"/>
        <v>3.7758479060304648E-2</v>
      </c>
      <c r="C34" s="24">
        <f t="shared" si="0"/>
        <v>8.0117280953193384E-3</v>
      </c>
      <c r="D34" s="24">
        <f t="shared" si="0"/>
        <v>1.2918668905885207E-2</v>
      </c>
      <c r="E34" s="24">
        <f t="shared" si="0"/>
        <v>2.6877319362584588E-2</v>
      </c>
      <c r="F34" s="24">
        <f t="shared" si="0"/>
        <v>4.0886394119378243E-2</v>
      </c>
      <c r="G34" s="6"/>
      <c r="H34" s="25" t="s">
        <v>18</v>
      </c>
      <c r="I34" s="24">
        <f t="shared" si="1"/>
        <v>0.39656590812630998</v>
      </c>
      <c r="J34" s="24">
        <f t="shared" si="1"/>
        <v>0.32988743076432481</v>
      </c>
      <c r="K34" s="24">
        <f t="shared" si="1"/>
        <v>0.26669589010056727</v>
      </c>
      <c r="L34" s="24">
        <f t="shared" si="1"/>
        <v>0.22168421763051577</v>
      </c>
      <c r="M34" s="24">
        <f t="shared" si="1"/>
        <v>0.1576493789930255</v>
      </c>
      <c r="N34" s="6"/>
      <c r="O34" s="25" t="s">
        <v>19</v>
      </c>
      <c r="P34" s="26">
        <f t="shared" si="2"/>
        <v>-6.8922094895137453E-3</v>
      </c>
      <c r="Q34" s="26">
        <f t="shared" si="3"/>
        <v>2.9507460162404619E-3</v>
      </c>
      <c r="R34" s="26">
        <f t="shared" si="4"/>
        <v>-3.6727994161460898E-3</v>
      </c>
      <c r="S34" s="26">
        <f t="shared" si="5"/>
        <v>9.3588387716551035E-4</v>
      </c>
      <c r="T34" s="26">
        <f t="shared" si="6"/>
        <v>4.2261963504818733E-3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2.0496201689093808E-2</v>
      </c>
      <c r="J35" s="24">
        <f t="shared" si="1"/>
        <v>-1.7516005294010248E-2</v>
      </c>
      <c r="K35" s="24">
        <f t="shared" si="1"/>
        <v>1.5024489720640659E-2</v>
      </c>
      <c r="L35" s="24">
        <f t="shared" si="1"/>
        <v>1.6493741747744293E-2</v>
      </c>
      <c r="M35" s="24">
        <f t="shared" si="1"/>
        <v>1.6218417787154046E-2</v>
      </c>
      <c r="N35" s="6"/>
      <c r="O35" s="25" t="s">
        <v>22</v>
      </c>
      <c r="P35" s="26">
        <f t="shared" si="2"/>
        <v>-4.9654758499223135E-3</v>
      </c>
      <c r="Q35" s="26">
        <f t="shared" si="3"/>
        <v>-2.2396052882888113E-2</v>
      </c>
      <c r="R35" s="26">
        <f t="shared" si="4"/>
        <v>-2.2861134457656102E-2</v>
      </c>
      <c r="S35" s="26">
        <f t="shared" si="5"/>
        <v>-8.6624004434230012E-4</v>
      </c>
      <c r="T35" s="26">
        <f t="shared" si="6"/>
        <v>-3.8666319370855303E-4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6.7021049889896531E-2</v>
      </c>
      <c r="C36" s="24">
        <f t="shared" si="0"/>
        <v>7.2848980700983751E-2</v>
      </c>
      <c r="D36" s="24">
        <f t="shared" si="0"/>
        <v>8.5428728289731137E-2</v>
      </c>
      <c r="E36" s="24">
        <f t="shared" si="0"/>
        <v>0.15115639449504872</v>
      </c>
      <c r="F36" s="24">
        <f t="shared" si="0"/>
        <v>0.21215999429829385</v>
      </c>
      <c r="G36" s="6"/>
      <c r="H36" s="25" t="s">
        <v>11</v>
      </c>
      <c r="I36" s="24" t="e">
        <f t="shared" si="1"/>
        <v>#VALUE!</v>
      </c>
      <c r="J36" s="24" t="e">
        <f t="shared" si="1"/>
        <v>#VALUE!</v>
      </c>
      <c r="K36" s="24" t="e">
        <f t="shared" si="1"/>
        <v>#VALUE!</v>
      </c>
      <c r="L36" s="24" t="e">
        <f t="shared" si="1"/>
        <v>#VALUE!</v>
      </c>
      <c r="M36" s="24">
        <f t="shared" si="1"/>
        <v>0</v>
      </c>
      <c r="N36" s="6"/>
      <c r="O36" s="25" t="s">
        <v>24</v>
      </c>
      <c r="P36" s="26">
        <f t="shared" si="2"/>
        <v>-9.3008602524479143E-3</v>
      </c>
      <c r="Q36" s="26">
        <f t="shared" si="3"/>
        <v>-3.371019080144685E-3</v>
      </c>
      <c r="R36" s="26">
        <f t="shared" si="4"/>
        <v>-1.5579427580773922E-2</v>
      </c>
      <c r="S36" s="26">
        <f t="shared" si="5"/>
        <v>-5.62858584966553E-3</v>
      </c>
      <c r="T36" s="26">
        <f t="shared" si="6"/>
        <v>-8.3905104115940717E-3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0.24342794278626448</v>
      </c>
      <c r="C37" s="24">
        <f t="shared" si="0"/>
        <v>0.28151880584232897</v>
      </c>
      <c r="D37" s="24">
        <f t="shared" si="0"/>
        <v>0.29401882729239476</v>
      </c>
      <c r="E37" s="24">
        <f t="shared" si="0"/>
        <v>0.14991857424936994</v>
      </c>
      <c r="F37" s="24">
        <f t="shared" si="0"/>
        <v>0.16033529472844088</v>
      </c>
      <c r="G37" s="6"/>
      <c r="H37" s="25" t="s">
        <v>26</v>
      </c>
      <c r="I37" s="24">
        <f t="shared" si="1"/>
        <v>3.4539575165048436E-2</v>
      </c>
      <c r="J37" s="24">
        <f t="shared" si="1"/>
        <v>-1.240625891344899E-2</v>
      </c>
      <c r="K37" s="24">
        <f t="shared" si="1"/>
        <v>4.3525571273122961E-3</v>
      </c>
      <c r="L37" s="24">
        <f t="shared" si="1"/>
        <v>5.2835975850103493E-3</v>
      </c>
      <c r="M37" s="24">
        <f t="shared" si="1"/>
        <v>8.6724186187225882E-3</v>
      </c>
      <c r="N37" s="6"/>
      <c r="O37" s="25" t="s">
        <v>27</v>
      </c>
      <c r="P37" s="26">
        <f t="shared" si="2"/>
        <v>-5.7208377037747525E-2</v>
      </c>
      <c r="Q37" s="26">
        <f t="shared" si="3"/>
        <v>-8.6021356097913948E-2</v>
      </c>
      <c r="R37" s="26">
        <f t="shared" si="4"/>
        <v>-5.5586001206701673E-2</v>
      </c>
      <c r="S37" s="26">
        <f t="shared" si="5"/>
        <v>-3.9668983580568938E-2</v>
      </c>
      <c r="T37" s="26">
        <f t="shared" si="6"/>
        <v>-3.9220024299921212E-2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 t="e">
        <f t="shared" si="0"/>
        <v>#VALUE!</v>
      </c>
      <c r="C38" s="24" t="e">
        <f t="shared" si="0"/>
        <v>#VALUE!</v>
      </c>
      <c r="D38" s="24" t="e">
        <f t="shared" si="0"/>
        <v>#VALUE!</v>
      </c>
      <c r="E38" s="24" t="e">
        <f t="shared" si="0"/>
        <v>#VALUE!</v>
      </c>
      <c r="F38" s="24">
        <f t="shared" si="0"/>
        <v>0</v>
      </c>
      <c r="G38" s="6"/>
      <c r="H38" s="25" t="s">
        <v>29</v>
      </c>
      <c r="I38" s="24">
        <f t="shared" si="1"/>
        <v>5.5035776854142245E-2</v>
      </c>
      <c r="J38" s="24">
        <f t="shared" si="1"/>
        <v>-2.9922264207459238E-2</v>
      </c>
      <c r="K38" s="24">
        <f t="shared" si="1"/>
        <v>1.9377046847952953E-2</v>
      </c>
      <c r="L38" s="24">
        <f t="shared" si="1"/>
        <v>2.1777339332754643E-2</v>
      </c>
      <c r="M38" s="24">
        <f t="shared" si="1"/>
        <v>2.4890836405876634E-2</v>
      </c>
      <c r="N38" s="6"/>
      <c r="O38" s="25" t="s">
        <v>30</v>
      </c>
      <c r="P38" s="26">
        <f t="shared" si="2"/>
        <v>0.11665759858500532</v>
      </c>
      <c r="Q38" s="26">
        <f t="shared" si="3"/>
        <v>-0.38548673847067721</v>
      </c>
      <c r="R38" s="26">
        <f t="shared" si="4"/>
        <v>-0.12890761881927668</v>
      </c>
      <c r="S38" s="26">
        <f t="shared" si="5"/>
        <v>-1.1379945878844143E-4</v>
      </c>
      <c r="T38" s="26">
        <f t="shared" si="6"/>
        <v>-3.0586838243740182E-2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0.689551007323839</v>
      </c>
      <c r="C39" s="24">
        <f t="shared" si="0"/>
        <v>0.64563221345668731</v>
      </c>
      <c r="D39" s="24">
        <f t="shared" si="0"/>
        <v>0.62055244441787405</v>
      </c>
      <c r="E39" s="24">
        <f t="shared" si="0"/>
        <v>0.69892503125558136</v>
      </c>
      <c r="F39" s="24">
        <f t="shared" si="0"/>
        <v>0.62750471097326521</v>
      </c>
      <c r="G39" s="6"/>
      <c r="H39" s="25" t="s">
        <v>32</v>
      </c>
      <c r="I39" s="24">
        <f t="shared" si="1"/>
        <v>0.34153013127216775</v>
      </c>
      <c r="J39" s="24">
        <f t="shared" si="1"/>
        <v>0.29996516655686561</v>
      </c>
      <c r="K39" s="24">
        <f t="shared" si="1"/>
        <v>0.2473188432526143</v>
      </c>
      <c r="L39" s="24">
        <f t="shared" si="1"/>
        <v>0.19990687829776113</v>
      </c>
      <c r="M39" s="24">
        <f t="shared" si="1"/>
        <v>0.13275854258714886</v>
      </c>
      <c r="N39" s="6"/>
      <c r="O39" s="25" t="s">
        <v>33</v>
      </c>
      <c r="P39" s="26">
        <f t="shared" si="2"/>
        <v>-1.8697075590406904E-2</v>
      </c>
      <c r="Q39" s="26">
        <f t="shared" si="3"/>
        <v>-1.2620812729856552E-2</v>
      </c>
      <c r="R39" s="26">
        <f t="shared" si="4"/>
        <v>0</v>
      </c>
      <c r="S39" s="26">
        <f t="shared" si="5"/>
        <v>0</v>
      </c>
      <c r="T39" s="26">
        <f t="shared" si="6"/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 t="e">
        <f t="shared" si="0"/>
        <v>#VALUE!</v>
      </c>
      <c r="C40" s="24" t="e">
        <f t="shared" si="0"/>
        <v>#VALUE!</v>
      </c>
      <c r="D40" s="24" t="e">
        <f t="shared" si="0"/>
        <v>#VALUE!</v>
      </c>
      <c r="E40" s="24" t="e">
        <f t="shared" si="0"/>
        <v>#VALUE!</v>
      </c>
      <c r="F40" s="24">
        <f t="shared" si="0"/>
        <v>0</v>
      </c>
      <c r="G40" s="6"/>
      <c r="H40" s="25" t="s">
        <v>35</v>
      </c>
      <c r="I40" s="24" t="e">
        <f t="shared" ref="I40:M49" si="7">I21/I$11</f>
        <v>#VALUE!</v>
      </c>
      <c r="J40" s="24" t="e">
        <f t="shared" si="7"/>
        <v>#VALUE!</v>
      </c>
      <c r="K40" s="24" t="e">
        <f t="shared" si="7"/>
        <v>#VALUE!</v>
      </c>
      <c r="L40" s="24" t="e">
        <f t="shared" si="7"/>
        <v>#VALUE!</v>
      </c>
      <c r="M40" s="24">
        <f t="shared" si="7"/>
        <v>0</v>
      </c>
      <c r="N40" s="6"/>
      <c r="O40" s="25" t="s">
        <v>36</v>
      </c>
      <c r="P40" s="26">
        <f t="shared" si="2"/>
        <v>-0.2335820979240637</v>
      </c>
      <c r="Q40" s="26">
        <f t="shared" si="3"/>
        <v>-0.20726066942473495</v>
      </c>
      <c r="R40" s="26">
        <f t="shared" si="4"/>
        <v>-1.0809596703438572E-2</v>
      </c>
      <c r="S40" s="26">
        <f t="shared" si="5"/>
        <v>-0.20423269368703784</v>
      </c>
      <c r="T40" s="26">
        <f t="shared" si="6"/>
        <v>-0.17450441588781268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0.34153013127216775</v>
      </c>
      <c r="J41" s="24">
        <f t="shared" si="7"/>
        <v>0.29996516655686561</v>
      </c>
      <c r="K41" s="24">
        <f t="shared" si="7"/>
        <v>0.2473188432526143</v>
      </c>
      <c r="L41" s="24">
        <f t="shared" si="7"/>
        <v>0.19990687829776113</v>
      </c>
      <c r="M41" s="24">
        <f t="shared" si="7"/>
        <v>0.13275854258714886</v>
      </c>
      <c r="N41" s="6"/>
      <c r="O41" s="25" t="s">
        <v>38</v>
      </c>
      <c r="P41" s="26">
        <f t="shared" si="2"/>
        <v>3.9723806799378508E-2</v>
      </c>
      <c r="Q41" s="26">
        <f t="shared" si="3"/>
        <v>0.37189496454813703</v>
      </c>
      <c r="R41" s="26">
        <f t="shared" si="4"/>
        <v>0.17912570775160916</v>
      </c>
      <c r="S41" s="26">
        <f t="shared" si="5"/>
        <v>0.16595802271824905</v>
      </c>
      <c r="T41" s="26">
        <f t="shared" si="6"/>
        <v>0.192714796257618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0.28644387231393137</v>
      </c>
      <c r="J42" s="24">
        <f t="shared" si="7"/>
        <v>0.20504277193434148</v>
      </c>
      <c r="K42" s="24">
        <f t="shared" si="7"/>
        <v>0.13415993276195043</v>
      </c>
      <c r="L42" s="24">
        <f t="shared" si="7"/>
        <v>9.03316410599935E-2</v>
      </c>
      <c r="M42" s="24">
        <f t="shared" si="7"/>
        <v>0.2007501913092998</v>
      </c>
      <c r="N42" s="6"/>
      <c r="O42" s="25" t="s">
        <v>40</v>
      </c>
      <c r="P42" s="26">
        <f t="shared" si="2"/>
        <v>0.21173783708490154</v>
      </c>
      <c r="Q42" s="26">
        <f t="shared" si="3"/>
        <v>3.5752238301137641E-2</v>
      </c>
      <c r="R42" s="26">
        <f t="shared" si="4"/>
        <v>0.2911378564446564</v>
      </c>
      <c r="S42" s="26">
        <f t="shared" si="5"/>
        <v>0.19525151116347561</v>
      </c>
      <c r="T42" s="26">
        <f t="shared" si="6"/>
        <v>0.18697875293839761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3.4153013127216775E-2</v>
      </c>
      <c r="J43" s="24">
        <f t="shared" si="7"/>
        <v>2.999672700256539E-2</v>
      </c>
      <c r="K43" s="24">
        <f t="shared" si="7"/>
        <v>2.4731785523268528E-2</v>
      </c>
      <c r="L43" s="24">
        <f t="shared" si="7"/>
        <v>1.9990651930893215E-2</v>
      </c>
      <c r="M43" s="24">
        <f t="shared" si="7"/>
        <v>1.327597559653718E-2</v>
      </c>
      <c r="N43" s="6"/>
      <c r="O43" s="2" t="s">
        <v>49</v>
      </c>
      <c r="P43" s="26">
        <f>P24/I11</f>
        <v>0.36484398225273584</v>
      </c>
      <c r="Q43" s="26">
        <f>Q24/J11</f>
        <v>0.35524685047618326</v>
      </c>
      <c r="R43" s="26">
        <f>R24/K11</f>
        <v>0.30731536542246413</v>
      </c>
      <c r="S43" s="26">
        <f>S24/L11</f>
        <v>0.27330896517162179</v>
      </c>
      <c r="T43" s="26">
        <f>T24/M11</f>
        <v>0.23857523511225368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0.23226675865627858</v>
      </c>
      <c r="J44" s="24">
        <f t="shared" si="7"/>
        <v>0.20697501836328253</v>
      </c>
      <c r="K44" s="24">
        <f t="shared" si="7"/>
        <v>0.18903554763968625</v>
      </c>
      <c r="L44" s="24">
        <f t="shared" si="7"/>
        <v>0.11774474601899339</v>
      </c>
      <c r="M44" s="24">
        <f t="shared" si="7"/>
        <v>0.12350976931253226</v>
      </c>
      <c r="N44" s="6"/>
      <c r="O44" s="2" t="s">
        <v>50</v>
      </c>
      <c r="P44" s="26">
        <f>P24/B16</f>
        <v>0.17770850902229207</v>
      </c>
      <c r="Q44" s="26">
        <f>Q24/C16</f>
        <v>0.21729785980788219</v>
      </c>
      <c r="R44" s="26">
        <f>R24/D16</f>
        <v>0.24360377736292074</v>
      </c>
      <c r="S44" s="26">
        <f>S24/E16</f>
        <v>0.23606956103272408</v>
      </c>
      <c r="T44" s="26">
        <f>T24/F16</f>
        <v>0.18120796297331687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0.16517744459589076</v>
      </c>
      <c r="J45" s="24">
        <f t="shared" si="7"/>
        <v>1.0230851492579383E-2</v>
      </c>
      <c r="K45" s="24">
        <f t="shared" si="7"/>
        <v>7.1937731031993402E-3</v>
      </c>
      <c r="L45" s="24">
        <f t="shared" si="7"/>
        <v>6.2654320322860189E-3</v>
      </c>
      <c r="M45" s="24">
        <f t="shared" si="7"/>
        <v>9.4949677160500817E-2</v>
      </c>
      <c r="N45" s="6"/>
      <c r="O45" s="2" t="s">
        <v>51</v>
      </c>
      <c r="P45" s="26">
        <f>P24/B20</f>
        <v>0.25771626338707315</v>
      </c>
      <c r="Q45" s="26">
        <f>Q24/C20</f>
        <v>0.33656601278377785</v>
      </c>
      <c r="R45" s="26">
        <f>R24/D20</f>
        <v>0.392559532323557</v>
      </c>
      <c r="S45" s="26">
        <f>S24/E20</f>
        <v>0.33776091923426721</v>
      </c>
      <c r="T45" s="26">
        <f>T24/F20</f>
        <v>0.28877546224674833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0.196376787206713</v>
      </c>
      <c r="J46" s="24">
        <f t="shared" si="7"/>
        <v>0.25780534163277979</v>
      </c>
      <c r="K46" s="24">
        <f t="shared" si="7"/>
        <v>0.16051766974841061</v>
      </c>
      <c r="L46" s="24">
        <f t="shared" si="7"/>
        <v>0.14623768937558201</v>
      </c>
      <c r="M46" s="24">
        <f t="shared" si="7"/>
        <v>0.10177331182687843</v>
      </c>
      <c r="N46" s="6"/>
      <c r="O46" s="2" t="s">
        <v>52</v>
      </c>
      <c r="P46" s="26">
        <f>P24/I22</f>
        <v>1.0682629403552952</v>
      </c>
      <c r="Q46" s="26">
        <f>Q24/J22</f>
        <v>1.1842936783422742</v>
      </c>
      <c r="R46" s="26">
        <f>R24/K22</f>
        <v>1.2425877518300079</v>
      </c>
      <c r="S46" s="26">
        <f>S24/L22</f>
        <v>1.36718139715297</v>
      </c>
      <c r="T46" s="26">
        <f>T24/M22</f>
        <v>1.7970612697532575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0.57242417664297385</v>
      </c>
      <c r="Q47" s="26">
        <f>Q24/(C22-C20)</f>
        <v>0.61319868244096987</v>
      </c>
      <c r="R47" s="26">
        <f>R24/(D22-D20)</f>
        <v>0.6419959063623385</v>
      </c>
      <c r="S47" s="26">
        <f>S24/(E22-E20)</f>
        <v>0.78408896633689473</v>
      </c>
      <c r="T47" s="26">
        <f>T24/(F22-F20)</f>
        <v>0.48647048247719238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>
        <f>P24/I25</f>
        <v>1.5707972348839316</v>
      </c>
      <c r="Q48" s="26">
        <f>Q24/J25</f>
        <v>1.716375499253026</v>
      </c>
      <c r="R48" s="26">
        <f>R24/K25</f>
        <v>1.6257014580571201</v>
      </c>
      <c r="S48" s="26">
        <f>S24/L25</f>
        <v>2.321198817037105</v>
      </c>
      <c r="T48" s="26">
        <f>T24/M25</f>
        <v>1.9316304810557685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6.3774573086036437</v>
      </c>
      <c r="Q49" s="26">
        <f>Q24/(Q18*-1)</f>
        <v>4.1297518033989489</v>
      </c>
      <c r="R49" s="26">
        <f>R24/(R18*-1)</f>
        <v>5.5286467590946797</v>
      </c>
      <c r="S49" s="26">
        <f>S24/(S18*-1)</f>
        <v>6.8897395522252989</v>
      </c>
      <c r="T49" s="26">
        <f>T24/(T18*-1)</f>
        <v>6.08299559653085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-3.3840384820947429E-2</v>
      </c>
      <c r="J50" s="28">
        <f>LN(J13/K13)</f>
        <v>4.3671010082250586E-3</v>
      </c>
      <c r="K50" s="28">
        <f>LN(K13/L13)</f>
        <v>0.24440131720222841</v>
      </c>
      <c r="L50" s="28">
        <f>LN(L13/M13)</f>
        <v>0.45870131760790223</v>
      </c>
      <c r="O50" s="2"/>
      <c r="P50" s="12"/>
      <c r="Q50" s="12"/>
      <c r="R50" s="12"/>
    </row>
    <row r="51" spans="1:29">
      <c r="A51" s="29" t="s">
        <v>57</v>
      </c>
      <c r="B51" s="30">
        <f>B11/B17</f>
        <v>3.2082874729933555</v>
      </c>
      <c r="C51" s="30">
        <f>C11/C17</f>
        <v>1.1610907999081581</v>
      </c>
      <c r="D51" s="30">
        <f>D11/D17</f>
        <v>3.8668204806943023</v>
      </c>
      <c r="E51" s="30">
        <f>E11/E17</f>
        <v>1.6998418406385454</v>
      </c>
      <c r="F51" s="30">
        <f>F11/F17</f>
        <v>1.1092676682845459</v>
      </c>
      <c r="H51" s="29" t="s">
        <v>58</v>
      </c>
      <c r="I51" s="46">
        <f>I13/I11</f>
        <v>0.35433716062470672</v>
      </c>
      <c r="J51" s="46">
        <f>J13/J11</f>
        <v>0.32988743076432481</v>
      </c>
      <c r="K51" s="46">
        <f>K13/K11</f>
        <v>0.25712691708800228</v>
      </c>
      <c r="L51" s="46">
        <f>L13/L11</f>
        <v>0.21950371948325711</v>
      </c>
      <c r="M51" s="46">
        <f>M13/M11</f>
        <v>0.15632356105476541</v>
      </c>
      <c r="O51" s="2" t="s">
        <v>59</v>
      </c>
      <c r="P51" s="32">
        <f>(P11-P24-P25)/B16</f>
        <v>-4.0312305907338225E-2</v>
      </c>
      <c r="Q51" s="32">
        <f>(Q11-Q24-Q25)/C16</f>
        <v>0.25459791721831893</v>
      </c>
      <c r="R51" s="32">
        <f>(R11-R24-R25)/D16</f>
        <v>9.8686778211634352E-2</v>
      </c>
      <c r="S51" s="32">
        <f>(S11-S24-S25)/E16</f>
        <v>-2.9038543589132979E-2</v>
      </c>
      <c r="T51" s="32">
        <f>(T11-T24-T25)/F16</f>
        <v>-2.7350986094103958E-2</v>
      </c>
    </row>
    <row r="52" spans="1:29">
      <c r="A52" s="29" t="s">
        <v>60</v>
      </c>
      <c r="B52" s="31">
        <f>I20/B16</f>
        <v>0.16635277917924191</v>
      </c>
      <c r="C52" s="31">
        <f>J20/C16</f>
        <v>0.18348308682357137</v>
      </c>
      <c r="D52" s="31">
        <f>K20/D16</f>
        <v>0.19604553240135825</v>
      </c>
      <c r="E52" s="31">
        <f>L20/E16</f>
        <v>0.17266879254231907</v>
      </c>
      <c r="F52" s="31">
        <f>M20/F16</f>
        <v>0.10083571774834217</v>
      </c>
      <c r="G52" s="31"/>
      <c r="H52" s="29" t="s">
        <v>61</v>
      </c>
      <c r="I52" s="46">
        <f>I16/I11</f>
        <v>2.0496201689093808E-2</v>
      </c>
      <c r="J52" s="46">
        <f>J16/J11</f>
        <v>-1.7516005294010248E-2</v>
      </c>
      <c r="K52" s="46">
        <f>K16/K11</f>
        <v>1.5024489720640659E-2</v>
      </c>
      <c r="L52" s="46">
        <f>L16/L11</f>
        <v>1.6493741747744293E-2</v>
      </c>
      <c r="M52" s="46">
        <f>M16/M11</f>
        <v>1.6218417787154046E-2</v>
      </c>
      <c r="O52" s="6"/>
    </row>
    <row r="53" spans="1:29">
      <c r="A53" s="29" t="s">
        <v>62</v>
      </c>
      <c r="B53" s="31">
        <f>I20/B20</f>
        <v>0.24124796775348106</v>
      </c>
      <c r="C53" s="31">
        <f>J20/C20</f>
        <v>0.28419134454461431</v>
      </c>
      <c r="D53" s="31">
        <f>K20/D20</f>
        <v>0.31592097358550258</v>
      </c>
      <c r="E53" s="31">
        <f>L20/E20</f>
        <v>0.24704908941682749</v>
      </c>
      <c r="F53" s="31">
        <f>M20/F20</f>
        <v>0.16069316450540283</v>
      </c>
      <c r="H53" s="29" t="s">
        <v>11</v>
      </c>
      <c r="I53" s="46" t="e">
        <f>I17/I11</f>
        <v>#VALUE!</v>
      </c>
      <c r="J53" s="46" t="e">
        <f>J17/J11</f>
        <v>#VALUE!</v>
      </c>
      <c r="K53" s="46" t="e">
        <f>K17/K11</f>
        <v>#VALUE!</v>
      </c>
      <c r="L53" s="46" t="e">
        <f>L17/L11</f>
        <v>#VALUE!</v>
      </c>
      <c r="M53" s="46">
        <f>M17/M11</f>
        <v>0</v>
      </c>
      <c r="O53" s="6"/>
    </row>
    <row r="54" spans="1:29">
      <c r="A54" s="29" t="s">
        <v>63</v>
      </c>
      <c r="B54" s="30">
        <f>I11/B12</f>
        <v>18.334593135364443</v>
      </c>
      <c r="C54" s="30">
        <f>J11/C12</f>
        <v>19.124683203128143</v>
      </c>
      <c r="D54" s="30">
        <f>K11/D12</f>
        <v>24.616337516619645</v>
      </c>
      <c r="E54" s="30">
        <f>L11/E12</f>
        <v>19.185247425875545</v>
      </c>
      <c r="F54" s="30">
        <f>M11/F12</f>
        <v>17.566402364509621</v>
      </c>
      <c r="H54" s="29" t="s">
        <v>64</v>
      </c>
      <c r="I54" s="46">
        <f>I25/I22</f>
        <v>0.68007691676018944</v>
      </c>
      <c r="J54" s="46">
        <f>J25/J22</f>
        <v>0.68999684443041964</v>
      </c>
      <c r="K54" s="46">
        <f>K25/K22</f>
        <v>0.76433944601060255</v>
      </c>
      <c r="L54" s="46">
        <f>L25/L22</f>
        <v>0.58899797256406894</v>
      </c>
      <c r="M54" s="46">
        <f>M25/M22</f>
        <v>0.93033387460889538</v>
      </c>
      <c r="O54" s="6"/>
    </row>
    <row r="55" spans="1:29">
      <c r="A55" s="29" t="s">
        <v>65</v>
      </c>
      <c r="B55" s="31">
        <f>(B22-B20)/B16</f>
        <v>0.310448992676161</v>
      </c>
      <c r="C55" s="31">
        <f>(C22-C20)/C16</f>
        <v>0.35436778654331269</v>
      </c>
      <c r="D55" s="31">
        <f>(D22-D20)/D16</f>
        <v>0.37944755558212589</v>
      </c>
      <c r="E55" s="31">
        <f>(E22-E20)/E16</f>
        <v>0.30107496874441864</v>
      </c>
      <c r="F55" s="31">
        <f>(F22-F20)/F16</f>
        <v>0.37249528902673473</v>
      </c>
      <c r="H55" s="29" t="s">
        <v>66</v>
      </c>
      <c r="I55" s="46">
        <f>I22/I11</f>
        <v>0.34153013127216775</v>
      </c>
      <c r="J55" s="46">
        <f>J22/J11</f>
        <v>0.29996516655686561</v>
      </c>
      <c r="K55" s="46">
        <f>K22/K11</f>
        <v>0.2473188432526143</v>
      </c>
      <c r="L55" s="46">
        <f>L22/L11</f>
        <v>0.19990687829776113</v>
      </c>
      <c r="M55" s="46">
        <f>M22/M11</f>
        <v>0.13275854258714886</v>
      </c>
      <c r="N55" s="31"/>
      <c r="O55" s="6"/>
    </row>
    <row r="56" spans="1:29">
      <c r="A56" s="29" t="s">
        <v>67</v>
      </c>
      <c r="B56" s="31">
        <f>(B22-B20)/B20</f>
        <v>0.45021904018532238</v>
      </c>
      <c r="C56" s="31">
        <f>(C22-C20)/C20</f>
        <v>0.54886943240648223</v>
      </c>
      <c r="D56" s="31">
        <f>(D22-D20)/D20</f>
        <v>0.61146734493661836</v>
      </c>
      <c r="E56" s="31">
        <f>(E22-E20)/E20</f>
        <v>0.43076861649031745</v>
      </c>
      <c r="F56" s="31">
        <f>(F22-F20)/F20</f>
        <v>0.5936135339111499</v>
      </c>
      <c r="H56" s="33" t="s">
        <v>68</v>
      </c>
      <c r="I56" s="34">
        <f>I13/B16</f>
        <v>0.17259083764245606</v>
      </c>
      <c r="J56" s="34">
        <f>J13/C16</f>
        <v>0.20178597667093062</v>
      </c>
      <c r="K56" s="34">
        <f>K13/D16</f>
        <v>0.20382022935369062</v>
      </c>
      <c r="L56" s="34">
        <f>L13/E16</f>
        <v>0.18959548828163758</v>
      </c>
      <c r="M56" s="34">
        <f>M13/F16</f>
        <v>0.11873434411639837</v>
      </c>
      <c r="O56" s="6"/>
    </row>
    <row r="57" spans="1:29">
      <c r="A57" s="29" t="s">
        <v>69</v>
      </c>
      <c r="B57" s="30">
        <f>I11/B16</f>
        <v>0.48708082815297554</v>
      </c>
      <c r="C57" s="30">
        <f>J11/C16</f>
        <v>0.61168131263263781</v>
      </c>
      <c r="D57" s="30">
        <f>K11/D16</f>
        <v>0.79268336299436393</v>
      </c>
      <c r="E57" s="30">
        <f>L11/E16</f>
        <v>0.86374613026135616</v>
      </c>
      <c r="F57" s="30">
        <f>M11/F16</f>
        <v>0.75954221689462231</v>
      </c>
      <c r="H57" s="33" t="s">
        <v>70</v>
      </c>
      <c r="I57" s="35">
        <f ca="1">I25/$C$5</f>
        <v>5.42780283707755E-2</v>
      </c>
      <c r="J57" s="35">
        <f ca="1">J25/$C$5</f>
        <v>5.3740605926678106E-2</v>
      </c>
      <c r="K57" s="35">
        <f ca="1">K25/$C$5</f>
        <v>6.2697428197226499E-2</v>
      </c>
      <c r="L57" s="35">
        <f ca="1">L25/$C$5</f>
        <v>3.5827070617785409E-2</v>
      </c>
      <c r="M57" s="35">
        <f ca="1">M25/$C$5</f>
        <v>3.3356238161386415E-2</v>
      </c>
      <c r="O57" s="6"/>
    </row>
    <row r="58" spans="1:29">
      <c r="A58" s="29" t="s">
        <v>71</v>
      </c>
      <c r="B58" s="30">
        <f>B16/B20</f>
        <v>1.4502190401853223</v>
      </c>
      <c r="C58" s="30">
        <f>C16/C20</f>
        <v>1.5488694324064822</v>
      </c>
      <c r="D58" s="30">
        <f>D16/D20</f>
        <v>1.6114673449366184</v>
      </c>
      <c r="E58" s="30">
        <f>E16/E20</f>
        <v>1.4307686164903175</v>
      </c>
      <c r="F58" s="30">
        <f>F16/F20</f>
        <v>1.5936135339111499</v>
      </c>
      <c r="H58" s="25" t="s">
        <v>72</v>
      </c>
      <c r="I58" s="37">
        <f ca="1">I22/$C$7/1000</f>
        <v>3.7152300237691129</v>
      </c>
      <c r="J58" s="37">
        <f ca="1">J22/$C$7/1000</f>
        <v>3.6255602984944733</v>
      </c>
      <c r="K58" s="37">
        <f ca="1">K22/$C$7/1000</f>
        <v>3.818415038512422</v>
      </c>
      <c r="L58" s="37">
        <f ca="1">L22/$C$7/1000</f>
        <v>2.8315039912765059</v>
      </c>
      <c r="M58" s="37">
        <f ca="1">M22/$C$7/1000</f>
        <v>1.6690060456462681</v>
      </c>
      <c r="O58" s="6"/>
    </row>
    <row r="59" spans="1:29">
      <c r="H59" s="25" t="s">
        <v>73</v>
      </c>
      <c r="I59" s="37">
        <f ca="1">B20/$C$7/1000</f>
        <v>15.400046924190118</v>
      </c>
      <c r="J59" s="37">
        <f ca="1">C20/$C$7/1000</f>
        <v>12.757462069451972</v>
      </c>
      <c r="K59" s="37">
        <f ca="1">D20/$C$7/1000</f>
        <v>12.086614557988458</v>
      </c>
      <c r="L59" s="37">
        <f ca="1">E20/$C$7/1000</f>
        <v>11.461301063527179</v>
      </c>
      <c r="M59" s="37">
        <f ca="1">F20/$C$7/1000</f>
        <v>10.386291481553048</v>
      </c>
      <c r="O59" s="6"/>
    </row>
    <row r="60" spans="1:29">
      <c r="H60" s="33" t="s">
        <v>74</v>
      </c>
      <c r="I60" s="38">
        <f ca="1">SQRT(22.5*I58*I59)</f>
        <v>35.8793969536083</v>
      </c>
      <c r="J60" s="38">
        <f ca="1">SQRT(22.5*J58*J59)</f>
        <v>32.259747825153092</v>
      </c>
      <c r="K60" s="38">
        <f ca="1">SQRT(22.5*K58*K59)</f>
        <v>32.224423855840179</v>
      </c>
      <c r="L60" s="38">
        <f ca="1">SQRT(22.5*L58*L59)</f>
        <v>27.021957615955113</v>
      </c>
      <c r="M60" s="38">
        <f ca="1">SQRT(22.5*M58*M59)</f>
        <v>19.749243622921824</v>
      </c>
      <c r="O60" s="6"/>
    </row>
    <row r="61" spans="1:29">
      <c r="H61" s="33" t="s">
        <v>75</v>
      </c>
      <c r="I61" s="39">
        <f ca="1">I58-(B20*0.08/1000/$C$7)</f>
        <v>2.4832262698339038</v>
      </c>
      <c r="J61" s="39">
        <f ca="1">J58-(C20*0.08/1000/$C$7)</f>
        <v>2.6049633329383157</v>
      </c>
      <c r="K61" s="39">
        <f ca="1">K58-(D20*0.08/1000/$C$7)</f>
        <v>2.8514858738733455</v>
      </c>
      <c r="L61" s="39">
        <f ca="1">L58-(E20*0.08/1000/$C$7)</f>
        <v>1.9145999061943315</v>
      </c>
      <c r="M61" s="39">
        <f ca="1">M58-(F20*0.08/1000/$C$7)</f>
        <v>0.83810272712202416</v>
      </c>
      <c r="O61" s="6"/>
    </row>
    <row r="62" spans="1:29">
      <c r="H62" s="2" t="s">
        <v>76</v>
      </c>
      <c r="I62" s="41">
        <f ca="1">I25/B7/1000</f>
        <v>2.5266421796197833</v>
      </c>
      <c r="J62" s="41">
        <f ca="1">J25/$C$7/1000</f>
        <v>2.501625165253397</v>
      </c>
      <c r="K62" s="41">
        <f ca="1">K25/$C$7/1000</f>
        <v>2.9185652351751381</v>
      </c>
      <c r="L62" s="41">
        <f ca="1">L25/$C$7/1000</f>
        <v>1.6677501101689314</v>
      </c>
      <c r="M62" s="41">
        <f ca="1">M25/$C$7/1000</f>
        <v>1.5527328611917635</v>
      </c>
      <c r="O62" s="6"/>
    </row>
    <row r="63" spans="1:29">
      <c r="A63" s="2"/>
      <c r="O63" s="6"/>
    </row>
    <row r="64" spans="1:29">
      <c r="H64" s="2" t="s">
        <v>85</v>
      </c>
      <c r="I64" s="47"/>
      <c r="J64" s="47">
        <f ca="1">SUM(J62:L62)</f>
        <v>7.0879405105974662</v>
      </c>
      <c r="O64" s="6"/>
    </row>
    <row r="65" spans="8:15">
      <c r="O65" s="6"/>
    </row>
    <row r="66" spans="8:15">
      <c r="O66" s="6"/>
    </row>
    <row r="67" spans="8:15">
      <c r="O67" s="6"/>
    </row>
    <row r="68" spans="8:15">
      <c r="O68" s="6"/>
    </row>
    <row r="69" spans="8:15">
      <c r="O69" s="6"/>
    </row>
    <row r="70" spans="8:15">
      <c r="O70" s="6"/>
    </row>
    <row r="71" spans="8:15">
      <c r="O71" s="6"/>
    </row>
    <row r="72" spans="8:15">
      <c r="O72" s="6"/>
    </row>
    <row r="73" spans="8:15">
      <c r="O73" s="6"/>
    </row>
    <row r="74" spans="8:15">
      <c r="H74" s="2" t="s">
        <v>86</v>
      </c>
      <c r="I74" s="6"/>
      <c r="J74" s="6">
        <f ca="1">J59*$C$7/$C$5</f>
        <v>2.7405933999289457E-4</v>
      </c>
      <c r="K74" s="6">
        <f ca="1">K59*$C$7/$C$5</f>
        <v>2.5964800761136989E-4</v>
      </c>
      <c r="L74" s="6">
        <f ca="1">L59*$C$7/$C$5</f>
        <v>2.4621484961742494E-4</v>
      </c>
      <c r="M74" s="6">
        <f ca="1">M59*$C$7/$C$5</f>
        <v>2.2312119549421701E-4</v>
      </c>
      <c r="O74" s="6"/>
    </row>
    <row r="75" spans="8:15">
      <c r="H75" s="2" t="s">
        <v>87</v>
      </c>
      <c r="O75" s="6"/>
    </row>
    <row r="76" spans="8:15">
      <c r="H76" s="2" t="s">
        <v>88</v>
      </c>
      <c r="O76" s="6"/>
    </row>
    <row r="77" spans="8:15">
      <c r="H77" s="2" t="s">
        <v>89</v>
      </c>
      <c r="I77" s="28"/>
      <c r="J77" s="28" t="e">
        <f ca="1">(J15-J16)/$C$6</f>
        <v>#VALUE!</v>
      </c>
      <c r="K77" s="28" t="e">
        <f ca="1">(K15-K16)/$C$6</f>
        <v>#VALUE!</v>
      </c>
      <c r="L77" s="28" t="e">
        <f ca="1">(L15-L16)/$C$6</f>
        <v>#VALUE!</v>
      </c>
      <c r="M77" s="28" t="e">
        <f ca="1">(M15-M16)/$C$6</f>
        <v>#VALUE!</v>
      </c>
      <c r="O77" s="6"/>
    </row>
  </sheetData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zoomScaleNormal="100" workbookViewId="0"/>
  </sheetViews>
  <sheetFormatPr defaultRowHeight="15"/>
  <cols>
    <col min="1" max="7" width="15.140625"/>
    <col min="8" max="8" width="22.5703125"/>
    <col min="9" max="14" width="15.140625"/>
    <col min="15" max="15" width="23.140625"/>
    <col min="16" max="29" width="15.140625"/>
    <col min="30" max="1025" width="14.42578125"/>
  </cols>
  <sheetData>
    <row r="1" spans="1:20">
      <c r="A1" s="2"/>
      <c r="B1" s="1"/>
      <c r="C1" s="1">
        <v>4031</v>
      </c>
      <c r="H1" s="6"/>
      <c r="O1" s="6"/>
    </row>
    <row r="2" spans="1:20">
      <c r="A2" s="2"/>
      <c r="C2" t="str">
        <f ca="1">IFERROR(__xludf.dummyfunction("GoogleFinance(""TADAWUL:""&amp;C1,""eps"")"),"2.88")</f>
        <v>2.88</v>
      </c>
      <c r="H2" s="6"/>
      <c r="O2" s="6"/>
    </row>
    <row r="3" spans="1:20">
      <c r="A3" s="2"/>
      <c r="H3" s="6"/>
      <c r="O3" s="6"/>
    </row>
    <row r="4" spans="1:20">
      <c r="A4" s="2"/>
      <c r="H4" s="6"/>
      <c r="O4" s="6"/>
    </row>
    <row r="5" spans="1:20">
      <c r="A5" s="2" t="s">
        <v>0</v>
      </c>
      <c r="B5" s="81"/>
      <c r="C5" s="3" t="str">
        <f ca="1">IFERROR(__xludf.dummyfunction("GoogleFinance(""TADAWUL:""&amp;C1,""marketcap"")/1000"),"7,484,282.68")</f>
        <v>7,484,282.68</v>
      </c>
      <c r="H5" s="6"/>
      <c r="O5" s="6"/>
    </row>
    <row r="6" spans="1:20">
      <c r="A6" s="2" t="s">
        <v>1</v>
      </c>
      <c r="B6" s="4"/>
      <c r="C6" s="4">
        <f ca="1">C5*1000+(C22-C20)-Q23</f>
        <v>7484048675</v>
      </c>
      <c r="H6" s="6"/>
      <c r="O6" s="6"/>
    </row>
    <row r="7" spans="1:20">
      <c r="A7" s="2" t="s">
        <v>2</v>
      </c>
      <c r="B7" s="5"/>
      <c r="C7" s="5" t="str">
        <f ca="1">IFERROR(__xludf.dummyfunction("GoogleFinance(""TADAWUL:""&amp;C1,""shares"")/1000000"),"188.047307")</f>
        <v>188.047307</v>
      </c>
      <c r="H7" s="6"/>
      <c r="O7" s="6"/>
    </row>
    <row r="8" spans="1:20">
      <c r="H8" s="6"/>
      <c r="O8" s="6"/>
    </row>
    <row r="9" spans="1:20">
      <c r="H9" s="6"/>
      <c r="O9" s="6"/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22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22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22">
        <v>41274</v>
      </c>
    </row>
    <row r="11" spans="1:20">
      <c r="A11" s="10" t="s">
        <v>6</v>
      </c>
      <c r="B11" s="11">
        <v>1887789</v>
      </c>
      <c r="C11" s="11">
        <v>1765483</v>
      </c>
      <c r="D11" s="11">
        <v>1348944</v>
      </c>
      <c r="E11" s="11">
        <v>1061405</v>
      </c>
      <c r="F11" s="56">
        <v>1317399</v>
      </c>
      <c r="H11" s="10" t="s">
        <v>7</v>
      </c>
      <c r="I11" s="11">
        <v>2726673</v>
      </c>
      <c r="J11" s="11">
        <v>2540512</v>
      </c>
      <c r="K11" s="11">
        <v>2408026</v>
      </c>
      <c r="L11" s="11">
        <v>2143849</v>
      </c>
      <c r="M11" s="56">
        <v>2007121</v>
      </c>
      <c r="O11" s="10" t="s">
        <v>8</v>
      </c>
      <c r="P11" s="11">
        <v>719961</v>
      </c>
      <c r="Q11" s="11">
        <v>644385</v>
      </c>
      <c r="R11" s="11">
        <v>674574</v>
      </c>
      <c r="S11" s="11">
        <v>627230</v>
      </c>
      <c r="T11" s="56">
        <v>603788</v>
      </c>
    </row>
    <row r="12" spans="1:20">
      <c r="A12" s="10" t="s">
        <v>9</v>
      </c>
      <c r="B12" s="18"/>
      <c r="C12" s="11">
        <v>289</v>
      </c>
      <c r="D12" s="11">
        <v>946</v>
      </c>
      <c r="E12" s="11">
        <v>2206</v>
      </c>
      <c r="F12" s="56">
        <v>2655</v>
      </c>
      <c r="H12" s="10" t="s">
        <v>10</v>
      </c>
      <c r="I12" s="11">
        <v>1714508</v>
      </c>
      <c r="J12" s="11">
        <v>1611791</v>
      </c>
      <c r="K12" s="11">
        <v>1526293</v>
      </c>
      <c r="L12" s="11">
        <v>1307376</v>
      </c>
      <c r="M12" s="56">
        <v>1173890</v>
      </c>
      <c r="O12" s="10" t="s">
        <v>11</v>
      </c>
      <c r="P12" s="11">
        <v>96222</v>
      </c>
      <c r="Q12" s="11">
        <v>97733</v>
      </c>
      <c r="R12" s="11">
        <v>79201</v>
      </c>
      <c r="S12" s="11">
        <v>67032</v>
      </c>
      <c r="T12" s="56">
        <v>55299</v>
      </c>
    </row>
    <row r="13" spans="1:20">
      <c r="A13" s="10" t="s">
        <v>12</v>
      </c>
      <c r="B13" s="11">
        <v>553143</v>
      </c>
      <c r="C13" s="11">
        <v>76201</v>
      </c>
      <c r="D13" s="11">
        <v>66579</v>
      </c>
      <c r="E13" s="18"/>
      <c r="F13" s="57"/>
      <c r="H13" s="10" t="s">
        <v>13</v>
      </c>
      <c r="I13" s="11">
        <v>1012165</v>
      </c>
      <c r="J13" s="11">
        <v>928721</v>
      </c>
      <c r="K13" s="11">
        <v>881733</v>
      </c>
      <c r="L13" s="11">
        <v>836473</v>
      </c>
      <c r="M13" s="56">
        <v>833231</v>
      </c>
      <c r="O13" s="10" t="s">
        <v>14</v>
      </c>
      <c r="P13" s="13">
        <v>-262282</v>
      </c>
      <c r="Q13" s="13">
        <v>-94671</v>
      </c>
      <c r="R13" s="13">
        <v>-190213</v>
      </c>
      <c r="S13" s="13">
        <v>-267307</v>
      </c>
      <c r="T13" s="58">
        <v>-215686</v>
      </c>
    </row>
    <row r="14" spans="1:20">
      <c r="A14" s="10" t="s">
        <v>15</v>
      </c>
      <c r="B14" s="11">
        <v>479573</v>
      </c>
      <c r="C14" s="11">
        <v>473140</v>
      </c>
      <c r="D14" s="11">
        <v>543196</v>
      </c>
      <c r="E14" s="11">
        <v>532257</v>
      </c>
      <c r="F14" s="56">
        <v>448022</v>
      </c>
      <c r="H14" s="10" t="s">
        <v>16</v>
      </c>
      <c r="I14" s="11">
        <v>45888</v>
      </c>
      <c r="J14" s="11">
        <v>49822</v>
      </c>
      <c r="K14" s="11">
        <v>49121</v>
      </c>
      <c r="L14" s="11">
        <v>2356</v>
      </c>
      <c r="M14" s="56">
        <v>2453</v>
      </c>
      <c r="O14" s="10" t="s">
        <v>9</v>
      </c>
      <c r="P14" s="18"/>
      <c r="Q14" s="11">
        <v>657</v>
      </c>
      <c r="R14" s="11">
        <v>1260</v>
      </c>
      <c r="S14" s="11">
        <v>450</v>
      </c>
      <c r="T14" s="56">
        <v>2787</v>
      </c>
    </row>
    <row r="15" spans="1:20">
      <c r="A15" s="10" t="s">
        <v>17</v>
      </c>
      <c r="B15" s="11">
        <v>910748</v>
      </c>
      <c r="C15" s="11">
        <v>934172</v>
      </c>
      <c r="D15" s="11">
        <v>985914</v>
      </c>
      <c r="E15" s="11">
        <v>1037657</v>
      </c>
      <c r="F15" s="56">
        <v>1093261</v>
      </c>
      <c r="H15" s="10" t="s">
        <v>18</v>
      </c>
      <c r="I15" s="11">
        <v>1058053</v>
      </c>
      <c r="J15" s="11">
        <v>978543</v>
      </c>
      <c r="K15" s="11">
        <v>930854</v>
      </c>
      <c r="L15" s="11">
        <v>838829</v>
      </c>
      <c r="M15" s="56">
        <v>835684</v>
      </c>
      <c r="O15" s="10" t="s">
        <v>19</v>
      </c>
      <c r="P15" s="13">
        <v>-136548</v>
      </c>
      <c r="Q15" s="13">
        <v>-61850</v>
      </c>
      <c r="R15" s="13">
        <v>-13422</v>
      </c>
      <c r="S15" s="13">
        <v>-19305</v>
      </c>
      <c r="T15" s="58">
        <v>-35451</v>
      </c>
    </row>
    <row r="16" spans="1:20">
      <c r="A16" s="10" t="s">
        <v>20</v>
      </c>
      <c r="B16" s="11">
        <v>3831253</v>
      </c>
      <c r="C16" s="11">
        <v>3249285</v>
      </c>
      <c r="D16" s="11">
        <v>2945579</v>
      </c>
      <c r="E16" s="11">
        <v>2633525</v>
      </c>
      <c r="F16" s="56">
        <v>2861337</v>
      </c>
      <c r="H16" s="10" t="s">
        <v>21</v>
      </c>
      <c r="I16" s="11">
        <v>240207</v>
      </c>
      <c r="J16" s="11">
        <v>235357</v>
      </c>
      <c r="K16" s="11">
        <v>175877</v>
      </c>
      <c r="L16" s="11">
        <v>142675</v>
      </c>
      <c r="M16" s="56">
        <v>173341</v>
      </c>
      <c r="O16" s="10" t="s">
        <v>22</v>
      </c>
      <c r="P16" s="13">
        <v>-23558</v>
      </c>
      <c r="Q16" s="11">
        <v>21086</v>
      </c>
      <c r="R16" s="13">
        <v>-17952</v>
      </c>
      <c r="S16" s="13">
        <v>-90366</v>
      </c>
      <c r="T16" s="56">
        <v>56139</v>
      </c>
    </row>
    <row r="17" spans="1:29">
      <c r="A17" s="10" t="s">
        <v>23</v>
      </c>
      <c r="B17" s="11">
        <v>465477</v>
      </c>
      <c r="C17" s="11">
        <v>280165</v>
      </c>
      <c r="D17" s="11">
        <v>238747</v>
      </c>
      <c r="E17" s="11">
        <v>292027</v>
      </c>
      <c r="F17" s="56">
        <v>352886</v>
      </c>
      <c r="H17" s="10" t="s">
        <v>11</v>
      </c>
      <c r="I17" s="11">
        <v>96222</v>
      </c>
      <c r="J17" s="11">
        <v>97733</v>
      </c>
      <c r="K17" s="11">
        <v>79201</v>
      </c>
      <c r="L17" s="11">
        <v>67032</v>
      </c>
      <c r="M17" s="56">
        <v>55299</v>
      </c>
      <c r="O17" s="10" t="s">
        <v>24</v>
      </c>
      <c r="P17" s="11">
        <v>222255</v>
      </c>
      <c r="Q17" s="11">
        <v>57730</v>
      </c>
      <c r="R17" s="11">
        <v>28392</v>
      </c>
      <c r="S17" s="11">
        <v>105199</v>
      </c>
      <c r="T17" s="56">
        <v>74583</v>
      </c>
    </row>
    <row r="18" spans="1:29">
      <c r="A18" s="10" t="s">
        <v>25</v>
      </c>
      <c r="B18" s="11">
        <v>316376</v>
      </c>
      <c r="C18" s="11">
        <v>265268</v>
      </c>
      <c r="D18" s="11">
        <v>222256</v>
      </c>
      <c r="E18" s="11">
        <v>183908</v>
      </c>
      <c r="F18" s="56">
        <v>157275</v>
      </c>
      <c r="H18" s="10" t="s">
        <v>26</v>
      </c>
      <c r="I18" s="11">
        <v>1663</v>
      </c>
      <c r="J18" s="11">
        <v>1068</v>
      </c>
      <c r="K18" s="11">
        <v>1200</v>
      </c>
      <c r="L18" s="11">
        <v>1892</v>
      </c>
      <c r="M18" s="56">
        <v>3256</v>
      </c>
      <c r="O18" s="10" t="s">
        <v>27</v>
      </c>
      <c r="P18" s="13">
        <v>-102689</v>
      </c>
      <c r="Q18" s="13">
        <v>-29993</v>
      </c>
      <c r="R18" s="13">
        <v>-127083</v>
      </c>
      <c r="S18" s="13">
        <v>-151284</v>
      </c>
      <c r="T18" s="58">
        <v>-132132</v>
      </c>
    </row>
    <row r="19" spans="1:29">
      <c r="A19" s="10" t="s">
        <v>28</v>
      </c>
      <c r="B19" s="18"/>
      <c r="C19" s="18"/>
      <c r="D19" s="18"/>
      <c r="E19" s="18"/>
      <c r="F19" s="57"/>
      <c r="H19" s="10" t="s">
        <v>29</v>
      </c>
      <c r="I19" s="11">
        <v>338092</v>
      </c>
      <c r="J19" s="11">
        <v>334158</v>
      </c>
      <c r="K19" s="11">
        <v>256278</v>
      </c>
      <c r="L19" s="11">
        <v>211599</v>
      </c>
      <c r="M19" s="56">
        <v>231896</v>
      </c>
      <c r="O19" s="10" t="s">
        <v>30</v>
      </c>
      <c r="P19" s="13">
        <v>-854715</v>
      </c>
      <c r="Q19" s="11">
        <v>26737</v>
      </c>
      <c r="R19" s="11">
        <v>211</v>
      </c>
      <c r="S19" s="11">
        <v>1663</v>
      </c>
      <c r="T19" s="57"/>
    </row>
    <row r="20" spans="1:29">
      <c r="A20" s="10" t="s">
        <v>31</v>
      </c>
      <c r="B20" s="11">
        <v>3049400</v>
      </c>
      <c r="C20" s="11">
        <v>2703852</v>
      </c>
      <c r="D20" s="11">
        <v>2484576</v>
      </c>
      <c r="E20" s="11">
        <v>2157590</v>
      </c>
      <c r="F20" s="56">
        <v>2351176</v>
      </c>
      <c r="H20" s="10" t="s">
        <v>32</v>
      </c>
      <c r="I20" s="11">
        <v>719961</v>
      </c>
      <c r="J20" s="11">
        <v>644385</v>
      </c>
      <c r="K20" s="11">
        <v>674576</v>
      </c>
      <c r="L20" s="11">
        <v>627230</v>
      </c>
      <c r="M20" s="56">
        <v>603788</v>
      </c>
      <c r="O20" s="10" t="s">
        <v>33</v>
      </c>
      <c r="P20" s="18"/>
      <c r="Q20" s="18"/>
      <c r="R20" s="18"/>
      <c r="S20" s="18"/>
      <c r="T20" s="57"/>
    </row>
    <row r="21" spans="1:29">
      <c r="A21" s="10" t="s">
        <v>34</v>
      </c>
      <c r="B21" s="18"/>
      <c r="C21" s="18"/>
      <c r="D21" s="18"/>
      <c r="E21" s="18"/>
      <c r="F21" s="59"/>
      <c r="H21" s="10" t="s">
        <v>35</v>
      </c>
      <c r="I21" s="11">
        <v>34132</v>
      </c>
      <c r="J21" s="11">
        <v>23313</v>
      </c>
      <c r="K21" s="11">
        <v>17593</v>
      </c>
      <c r="L21" s="11">
        <v>21270</v>
      </c>
      <c r="M21" s="56">
        <v>14498</v>
      </c>
      <c r="O21" s="10" t="s">
        <v>36</v>
      </c>
      <c r="P21" s="13">
        <v>-340280</v>
      </c>
      <c r="Q21" s="13">
        <v>-401796</v>
      </c>
      <c r="R21" s="13">
        <v>-342773</v>
      </c>
      <c r="S21" s="13">
        <v>-206573</v>
      </c>
      <c r="T21" s="58">
        <v>-257344</v>
      </c>
    </row>
    <row r="22" spans="1:29">
      <c r="A22" s="10" t="s">
        <v>37</v>
      </c>
      <c r="B22" s="11">
        <v>3831253</v>
      </c>
      <c r="C22" s="11">
        <v>3249285</v>
      </c>
      <c r="D22" s="11">
        <v>2945579</v>
      </c>
      <c r="E22" s="11">
        <v>2633525</v>
      </c>
      <c r="F22" s="56">
        <v>2861337</v>
      </c>
      <c r="H22" s="10" t="s">
        <v>8</v>
      </c>
      <c r="I22" s="11">
        <v>685829</v>
      </c>
      <c r="J22" s="11">
        <v>621072</v>
      </c>
      <c r="K22" s="11">
        <v>656983</v>
      </c>
      <c r="L22" s="11">
        <v>605960</v>
      </c>
      <c r="M22" s="56">
        <v>589290</v>
      </c>
      <c r="O22" s="10" t="s">
        <v>38</v>
      </c>
      <c r="P22" s="11">
        <v>779438</v>
      </c>
      <c r="Q22" s="11">
        <v>519420</v>
      </c>
      <c r="R22" s="11">
        <v>427224</v>
      </c>
      <c r="S22" s="11">
        <v>360486</v>
      </c>
      <c r="T22" s="56">
        <v>208504</v>
      </c>
    </row>
    <row r="23" spans="1:29">
      <c r="H23" s="10" t="s">
        <v>39</v>
      </c>
      <c r="I23" s="11">
        <v>522737</v>
      </c>
      <c r="J23" s="11">
        <v>365569</v>
      </c>
      <c r="K23" s="11">
        <v>104281</v>
      </c>
      <c r="L23" s="11">
        <v>764358</v>
      </c>
      <c r="M23" s="56">
        <v>483997</v>
      </c>
      <c r="O23" s="10" t="s">
        <v>40</v>
      </c>
      <c r="P23" s="11">
        <v>97804</v>
      </c>
      <c r="Q23" s="11">
        <v>779438</v>
      </c>
      <c r="R23" s="11">
        <v>519419</v>
      </c>
      <c r="S23" s="11">
        <v>427225</v>
      </c>
      <c r="T23" s="56">
        <v>360487</v>
      </c>
    </row>
    <row r="24" spans="1:29">
      <c r="H24" s="10" t="s">
        <v>41</v>
      </c>
      <c r="I24" s="13">
        <v>-68583</v>
      </c>
      <c r="J24" s="13">
        <v>-62107</v>
      </c>
      <c r="K24" s="11">
        <v>65698</v>
      </c>
      <c r="L24" s="11">
        <v>60596</v>
      </c>
      <c r="M24" s="56">
        <v>58929</v>
      </c>
      <c r="O24" s="2" t="s">
        <v>42</v>
      </c>
      <c r="P24" s="12">
        <f>SUM(P11:P17)</f>
        <v>616050</v>
      </c>
      <c r="Q24" s="12">
        <f>SUM(Q11:Q17)</f>
        <v>665070</v>
      </c>
      <c r="R24" s="12">
        <f>SUM(R11:R17)</f>
        <v>561840</v>
      </c>
      <c r="S24" s="12">
        <f>SUM(S11:S17)</f>
        <v>422933</v>
      </c>
      <c r="T24" s="12">
        <f>SUM(T11:T17)</f>
        <v>541459</v>
      </c>
    </row>
    <row r="25" spans="1:29">
      <c r="H25" s="10" t="s">
        <v>43</v>
      </c>
      <c r="I25" s="13">
        <v>-340280</v>
      </c>
      <c r="J25" s="13">
        <v>-401796</v>
      </c>
      <c r="K25" s="11">
        <v>329995</v>
      </c>
      <c r="L25" s="11">
        <v>799547</v>
      </c>
      <c r="M25" s="56">
        <v>250000</v>
      </c>
      <c r="O25" s="2" t="s">
        <v>44</v>
      </c>
      <c r="P25" s="12">
        <f>P18+P19</f>
        <v>-957404</v>
      </c>
      <c r="Q25" s="12">
        <f>Q18+Q19</f>
        <v>-3256</v>
      </c>
      <c r="R25" s="12">
        <f>R18+R19</f>
        <v>-126872</v>
      </c>
      <c r="S25" s="12">
        <f>S18+S19</f>
        <v>-149621</v>
      </c>
      <c r="T25" s="12">
        <f>T18+T19</f>
        <v>-132132</v>
      </c>
    </row>
    <row r="26" spans="1:29">
      <c r="H26" s="10" t="s">
        <v>45</v>
      </c>
      <c r="I26" s="18"/>
      <c r="J26" s="18"/>
      <c r="K26" s="18"/>
      <c r="L26" s="11">
        <v>405894</v>
      </c>
      <c r="M26" s="57"/>
      <c r="O26" s="2" t="s">
        <v>46</v>
      </c>
      <c r="P26" s="12">
        <f>P20+P21</f>
        <v>-340280</v>
      </c>
      <c r="Q26" s="12">
        <f>Q20+Q21</f>
        <v>-401796</v>
      </c>
      <c r="R26" s="12">
        <f>R20+R21</f>
        <v>-342773</v>
      </c>
      <c r="S26" s="12">
        <f>S20+S21</f>
        <v>-206573</v>
      </c>
      <c r="T26" s="12">
        <f>T20+T21</f>
        <v>-257344</v>
      </c>
    </row>
    <row r="27" spans="1:29">
      <c r="H27" s="10" t="s">
        <v>47</v>
      </c>
      <c r="I27" s="11">
        <v>799704</v>
      </c>
      <c r="J27" s="11">
        <v>522738</v>
      </c>
      <c r="K27" s="11">
        <v>365569</v>
      </c>
      <c r="L27" s="11">
        <v>104281</v>
      </c>
      <c r="M27" s="56">
        <v>764358</v>
      </c>
      <c r="O27" s="2" t="s">
        <v>48</v>
      </c>
      <c r="P27" s="12">
        <f>P24+P25+P26</f>
        <v>-681634</v>
      </c>
      <c r="Q27" s="12">
        <f>Q24+Q25+Q26</f>
        <v>260018</v>
      </c>
      <c r="R27" s="12">
        <f>R24+R25+R26</f>
        <v>92195</v>
      </c>
      <c r="S27" s="12">
        <f>S24+S25+S26</f>
        <v>66739</v>
      </c>
      <c r="T27" s="12">
        <f>T24+T25+T26</f>
        <v>151983</v>
      </c>
    </row>
    <row r="28" spans="1:29">
      <c r="H28" s="6"/>
      <c r="O28" s="2"/>
      <c r="P28" s="19"/>
      <c r="Q28" s="12"/>
      <c r="R28" s="12"/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/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0.49273410030608783</v>
      </c>
      <c r="C30" s="24">
        <f t="shared" si="0"/>
        <v>0.54334507437790158</v>
      </c>
      <c r="D30" s="24">
        <f t="shared" si="0"/>
        <v>0.45795546478298493</v>
      </c>
      <c r="E30" s="24">
        <f t="shared" si="0"/>
        <v>0.40303585498523842</v>
      </c>
      <c r="F30" s="24">
        <f t="shared" si="0"/>
        <v>0.46041378558345275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0.26404376322353285</v>
      </c>
      <c r="Q30" s="26">
        <f t="shared" ref="Q30:Q42" si="3">Q11/J$11</f>
        <v>0.25364375370004155</v>
      </c>
      <c r="R30" s="26">
        <f t="shared" ref="R30:R42" si="4">R11/K$11</f>
        <v>0.28013567959814389</v>
      </c>
      <c r="S30" s="26">
        <f t="shared" ref="S30:S42" si="5">S11/L$11</f>
        <v>0.29257191154787487</v>
      </c>
      <c r="T30" s="26">
        <f t="shared" ref="T30:T42" si="6">T11/M$11</f>
        <v>0.30082291999336364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0</v>
      </c>
      <c r="C31" s="24">
        <f t="shared" si="0"/>
        <v>8.8942644304823988E-5</v>
      </c>
      <c r="D31" s="24">
        <f t="shared" si="0"/>
        <v>3.2115926953580265E-4</v>
      </c>
      <c r="E31" s="24">
        <f t="shared" si="0"/>
        <v>8.3766055002325779E-4</v>
      </c>
      <c r="F31" s="24">
        <f t="shared" si="0"/>
        <v>9.2788790694699717E-4</v>
      </c>
      <c r="G31" s="6"/>
      <c r="H31" s="25" t="s">
        <v>10</v>
      </c>
      <c r="I31" s="24">
        <f t="shared" si="1"/>
        <v>0.62879120451920711</v>
      </c>
      <c r="J31" s="24">
        <f t="shared" si="1"/>
        <v>0.63443549961582546</v>
      </c>
      <c r="K31" s="24">
        <f t="shared" si="1"/>
        <v>0.63383576423178156</v>
      </c>
      <c r="L31" s="24">
        <f t="shared" si="1"/>
        <v>0.60982653162606137</v>
      </c>
      <c r="M31" s="24">
        <f t="shared" si="1"/>
        <v>0.58486259672436292</v>
      </c>
      <c r="N31" s="6"/>
      <c r="O31" s="25" t="s">
        <v>11</v>
      </c>
      <c r="P31" s="26">
        <f t="shared" si="2"/>
        <v>3.5289160086302979E-2</v>
      </c>
      <c r="Q31" s="26">
        <f t="shared" si="3"/>
        <v>3.846980451184643E-2</v>
      </c>
      <c r="R31" s="26">
        <f t="shared" si="4"/>
        <v>3.2890425601716927E-2</v>
      </c>
      <c r="S31" s="26">
        <f t="shared" si="5"/>
        <v>3.1267127488922963E-2</v>
      </c>
      <c r="T31" s="26">
        <f t="shared" si="6"/>
        <v>2.7551403228803843E-2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0.14437652642621096</v>
      </c>
      <c r="C32" s="24">
        <f t="shared" si="0"/>
        <v>2.345162089505845E-2</v>
      </c>
      <c r="D32" s="24">
        <f t="shared" si="0"/>
        <v>2.2603026433852223E-2</v>
      </c>
      <c r="E32" s="24">
        <f t="shared" si="0"/>
        <v>0</v>
      </c>
      <c r="F32" s="24">
        <f t="shared" si="0"/>
        <v>0</v>
      </c>
      <c r="G32" s="6"/>
      <c r="H32" s="25" t="s">
        <v>13</v>
      </c>
      <c r="I32" s="24">
        <f t="shared" si="1"/>
        <v>0.37120879548079289</v>
      </c>
      <c r="J32" s="24">
        <f t="shared" si="1"/>
        <v>0.36556450038417454</v>
      </c>
      <c r="K32" s="24">
        <f t="shared" si="1"/>
        <v>0.36616423576821844</v>
      </c>
      <c r="L32" s="24">
        <f t="shared" si="1"/>
        <v>0.39017346837393863</v>
      </c>
      <c r="M32" s="24">
        <f t="shared" si="1"/>
        <v>0.41513740327563708</v>
      </c>
      <c r="N32" s="6"/>
      <c r="O32" s="25" t="s">
        <v>14</v>
      </c>
      <c r="P32" s="26">
        <f t="shared" si="2"/>
        <v>-9.6191219115750223E-2</v>
      </c>
      <c r="Q32" s="26">
        <f t="shared" si="3"/>
        <v>-3.7264535652655841E-2</v>
      </c>
      <c r="R32" s="26">
        <f t="shared" si="4"/>
        <v>-7.8991256738922253E-2</v>
      </c>
      <c r="S32" s="26">
        <f t="shared" si="5"/>
        <v>-0.12468555387996076</v>
      </c>
      <c r="T32" s="26">
        <f t="shared" si="6"/>
        <v>-0.10746038729105022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0.12517393134830823</v>
      </c>
      <c r="C33" s="24">
        <f t="shared" si="0"/>
        <v>0.14561357344769696</v>
      </c>
      <c r="D33" s="24">
        <f t="shared" si="0"/>
        <v>0.184410603144577</v>
      </c>
      <c r="E33" s="24">
        <f t="shared" si="0"/>
        <v>0.20210820098537133</v>
      </c>
      <c r="F33" s="24">
        <f t="shared" si="0"/>
        <v>0.15657785154282772</v>
      </c>
      <c r="G33" s="6"/>
      <c r="H33" s="25" t="s">
        <v>16</v>
      </c>
      <c r="I33" s="24">
        <f t="shared" si="1"/>
        <v>1.6829300763237836E-2</v>
      </c>
      <c r="J33" s="24">
        <f t="shared" si="1"/>
        <v>1.9611007544935825E-2</v>
      </c>
      <c r="K33" s="24">
        <f t="shared" si="1"/>
        <v>2.0398866125199644E-2</v>
      </c>
      <c r="L33" s="24">
        <f t="shared" si="1"/>
        <v>1.0989579956424171E-3</v>
      </c>
      <c r="M33" s="24">
        <f t="shared" si="1"/>
        <v>1.2221485401228925E-3</v>
      </c>
      <c r="N33" s="6"/>
      <c r="O33" s="25" t="s">
        <v>9</v>
      </c>
      <c r="P33" s="26">
        <f t="shared" si="2"/>
        <v>0</v>
      </c>
      <c r="Q33" s="26">
        <f t="shared" si="3"/>
        <v>2.5860928820647174E-4</v>
      </c>
      <c r="R33" s="26">
        <f t="shared" si="4"/>
        <v>5.232501642424127E-4</v>
      </c>
      <c r="S33" s="26">
        <f t="shared" si="5"/>
        <v>2.0990284297075026E-4</v>
      </c>
      <c r="T33" s="26">
        <f t="shared" si="6"/>
        <v>1.3885560461975137E-3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>
        <f t="shared" si="0"/>
        <v>0.23771544191939295</v>
      </c>
      <c r="C34" s="24">
        <f t="shared" si="0"/>
        <v>0.2875007886350382</v>
      </c>
      <c r="D34" s="24">
        <f t="shared" si="0"/>
        <v>0.33470974636905004</v>
      </c>
      <c r="E34" s="24">
        <f t="shared" si="0"/>
        <v>0.39401828347936702</v>
      </c>
      <c r="F34" s="24">
        <f t="shared" si="0"/>
        <v>0.3820804749667725</v>
      </c>
      <c r="G34" s="6"/>
      <c r="H34" s="25" t="s">
        <v>18</v>
      </c>
      <c r="I34" s="24">
        <f t="shared" si="1"/>
        <v>0.38803809624403074</v>
      </c>
      <c r="J34" s="24">
        <f t="shared" si="1"/>
        <v>0.38517550792911037</v>
      </c>
      <c r="K34" s="24">
        <f t="shared" si="1"/>
        <v>0.38656310189341808</v>
      </c>
      <c r="L34" s="24">
        <f t="shared" si="1"/>
        <v>0.39127242636958104</v>
      </c>
      <c r="M34" s="24">
        <f t="shared" si="1"/>
        <v>0.41635955181576001</v>
      </c>
      <c r="N34" s="6"/>
      <c r="O34" s="25" t="s">
        <v>19</v>
      </c>
      <c r="P34" s="26">
        <f t="shared" si="2"/>
        <v>-5.0078612286841878E-2</v>
      </c>
      <c r="Q34" s="26">
        <f t="shared" si="3"/>
        <v>-2.4345486264186117E-2</v>
      </c>
      <c r="R34" s="26">
        <f t="shared" si="4"/>
        <v>-5.5738600829060812E-3</v>
      </c>
      <c r="S34" s="26">
        <f t="shared" si="5"/>
        <v>-9.0048319634451861E-3</v>
      </c>
      <c r="T34" s="26">
        <f t="shared" si="6"/>
        <v>-1.7662612269016168E-2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8.8095272150345863E-2</v>
      </c>
      <c r="J35" s="24">
        <f t="shared" si="1"/>
        <v>9.2641562015845627E-2</v>
      </c>
      <c r="K35" s="24">
        <f t="shared" si="1"/>
        <v>7.3037832647986356E-2</v>
      </c>
      <c r="L35" s="24">
        <f t="shared" si="1"/>
        <v>6.6550862490781765E-2</v>
      </c>
      <c r="M35" s="24">
        <f t="shared" si="1"/>
        <v>8.6363004522398007E-2</v>
      </c>
      <c r="N35" s="6"/>
      <c r="O35" s="25" t="s">
        <v>22</v>
      </c>
      <c r="P35" s="26">
        <f t="shared" si="2"/>
        <v>-8.6398332326611954E-3</v>
      </c>
      <c r="Q35" s="26">
        <f t="shared" si="3"/>
        <v>8.299901752087769E-3</v>
      </c>
      <c r="R35" s="26">
        <f t="shared" si="4"/>
        <v>-7.4550690067299941E-3</v>
      </c>
      <c r="S35" s="26">
        <f t="shared" si="5"/>
        <v>-4.2151289573099597E-2</v>
      </c>
      <c r="T35" s="26">
        <f t="shared" si="6"/>
        <v>2.7969913124320855E-2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0.12149471726351666</v>
      </c>
      <c r="C36" s="24">
        <f t="shared" si="0"/>
        <v>8.622358457322149E-2</v>
      </c>
      <c r="D36" s="24">
        <f t="shared" si="0"/>
        <v>8.1052655522055261E-2</v>
      </c>
      <c r="E36" s="24">
        <f t="shared" si="0"/>
        <v>0.11088825813311057</v>
      </c>
      <c r="F36" s="24">
        <f t="shared" si="0"/>
        <v>0.12332905910768288</v>
      </c>
      <c r="G36" s="6"/>
      <c r="H36" s="25" t="s">
        <v>11</v>
      </c>
      <c r="I36" s="24">
        <f t="shared" si="1"/>
        <v>3.5289160086302979E-2</v>
      </c>
      <c r="J36" s="24">
        <f t="shared" si="1"/>
        <v>3.846980451184643E-2</v>
      </c>
      <c r="K36" s="24">
        <f t="shared" si="1"/>
        <v>3.2890425601716927E-2</v>
      </c>
      <c r="L36" s="24">
        <f t="shared" si="1"/>
        <v>3.1267127488922963E-2</v>
      </c>
      <c r="M36" s="24">
        <f t="shared" si="1"/>
        <v>2.7551403228803843E-2</v>
      </c>
      <c r="N36" s="6"/>
      <c r="O36" s="25" t="s">
        <v>24</v>
      </c>
      <c r="P36" s="26">
        <f t="shared" si="2"/>
        <v>8.1511424362217255E-2</v>
      </c>
      <c r="Q36" s="26">
        <f t="shared" si="3"/>
        <v>2.2723765918051163E-2</v>
      </c>
      <c r="R36" s="26">
        <f t="shared" si="4"/>
        <v>1.1790570367595699E-2</v>
      </c>
      <c r="S36" s="26">
        <f t="shared" si="5"/>
        <v>4.9070153728177683E-2</v>
      </c>
      <c r="T36" s="26">
        <f t="shared" si="6"/>
        <v>3.7159194687315815E-2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8.2577684115353378E-2</v>
      </c>
      <c r="C37" s="24">
        <f t="shared" si="0"/>
        <v>8.1638883631321962E-2</v>
      </c>
      <c r="D37" s="24">
        <f t="shared" si="0"/>
        <v>7.545409578218748E-2</v>
      </c>
      <c r="E37" s="24">
        <f t="shared" si="0"/>
        <v>6.9833398202029592E-2</v>
      </c>
      <c r="F37" s="24">
        <f t="shared" si="0"/>
        <v>5.4965563301351779E-2</v>
      </c>
      <c r="G37" s="6"/>
      <c r="H37" s="25" t="s">
        <v>26</v>
      </c>
      <c r="I37" s="24">
        <f t="shared" si="1"/>
        <v>6.0990078384903508E-4</v>
      </c>
      <c r="J37" s="24">
        <f t="shared" si="1"/>
        <v>4.2038770137673033E-4</v>
      </c>
      <c r="K37" s="24">
        <f t="shared" si="1"/>
        <v>4.9833348975467876E-4</v>
      </c>
      <c r="L37" s="24">
        <f t="shared" si="1"/>
        <v>8.825248420014656E-4</v>
      </c>
      <c r="M37" s="24">
        <f t="shared" si="1"/>
        <v>1.6222240711945119E-3</v>
      </c>
      <c r="N37" s="6"/>
      <c r="O37" s="25" t="s">
        <v>27</v>
      </c>
      <c r="P37" s="26">
        <f t="shared" si="2"/>
        <v>-3.7660914968534916E-2</v>
      </c>
      <c r="Q37" s="26">
        <f t="shared" si="3"/>
        <v>-1.1805887946996512E-2</v>
      </c>
      <c r="R37" s="26">
        <f t="shared" si="4"/>
        <v>-5.2774762398744866E-2</v>
      </c>
      <c r="S37" s="26">
        <f t="shared" si="5"/>
        <v>-7.0566537102193294E-2</v>
      </c>
      <c r="T37" s="26">
        <f t="shared" si="6"/>
        <v>-6.5831606564825937E-2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24">
        <f t="shared" si="0"/>
        <v>0</v>
      </c>
      <c r="G38" s="6"/>
      <c r="H38" s="25" t="s">
        <v>29</v>
      </c>
      <c r="I38" s="24">
        <f t="shared" si="1"/>
        <v>0.12399433302049788</v>
      </c>
      <c r="J38" s="24">
        <f t="shared" si="1"/>
        <v>0.13153175422906879</v>
      </c>
      <c r="K38" s="24">
        <f t="shared" si="1"/>
        <v>0.10642659173945797</v>
      </c>
      <c r="L38" s="24">
        <f t="shared" si="1"/>
        <v>9.8700514821706192E-2</v>
      </c>
      <c r="M38" s="24">
        <f t="shared" si="1"/>
        <v>0.11553663182239636</v>
      </c>
      <c r="N38" s="6"/>
      <c r="O38" s="25" t="s">
        <v>30</v>
      </c>
      <c r="P38" s="26">
        <f t="shared" si="2"/>
        <v>-0.31346443082833914</v>
      </c>
      <c r="Q38" s="26">
        <f t="shared" si="3"/>
        <v>1.0524256527818014E-2</v>
      </c>
      <c r="R38" s="26">
        <f t="shared" si="4"/>
        <v>8.7623638615197681E-5</v>
      </c>
      <c r="S38" s="26">
        <f t="shared" si="5"/>
        <v>7.7570761746746154E-4</v>
      </c>
      <c r="T38" s="26">
        <f t="shared" si="6"/>
        <v>0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0.79592759862112994</v>
      </c>
      <c r="C39" s="24">
        <f t="shared" si="0"/>
        <v>0.83213753179545658</v>
      </c>
      <c r="D39" s="24">
        <f t="shared" si="0"/>
        <v>0.84349324869575726</v>
      </c>
      <c r="E39" s="24">
        <f t="shared" si="0"/>
        <v>0.81927834366485985</v>
      </c>
      <c r="F39" s="24">
        <f t="shared" si="0"/>
        <v>0.82170537759096529</v>
      </c>
      <c r="G39" s="6"/>
      <c r="H39" s="25" t="s">
        <v>32</v>
      </c>
      <c r="I39" s="24">
        <f t="shared" si="1"/>
        <v>0.26404376322353285</v>
      </c>
      <c r="J39" s="24">
        <f t="shared" si="1"/>
        <v>0.25364375370004155</v>
      </c>
      <c r="K39" s="24">
        <f t="shared" si="1"/>
        <v>0.28013651015396013</v>
      </c>
      <c r="L39" s="24">
        <f t="shared" si="1"/>
        <v>0.29257191154787487</v>
      </c>
      <c r="M39" s="24">
        <f t="shared" si="1"/>
        <v>0.30082291999336364</v>
      </c>
      <c r="N39" s="6"/>
      <c r="O39" s="25" t="s">
        <v>33</v>
      </c>
      <c r="P39" s="26">
        <f t="shared" si="2"/>
        <v>0</v>
      </c>
      <c r="Q39" s="26">
        <f t="shared" si="3"/>
        <v>0</v>
      </c>
      <c r="R39" s="26">
        <f t="shared" si="4"/>
        <v>0</v>
      </c>
      <c r="S39" s="26">
        <f t="shared" si="5"/>
        <v>0</v>
      </c>
      <c r="T39" s="26">
        <f t="shared" si="6"/>
        <v>0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24">
        <f t="shared" si="0"/>
        <v>0</v>
      </c>
      <c r="G40" s="6"/>
      <c r="H40" s="25" t="s">
        <v>35</v>
      </c>
      <c r="I40" s="24">
        <f t="shared" ref="I40:M49" si="7">I21/I$11</f>
        <v>1.2517819335138463E-2</v>
      </c>
      <c r="J40" s="24">
        <f t="shared" si="7"/>
        <v>9.176496706175763E-3</v>
      </c>
      <c r="K40" s="24">
        <f t="shared" si="7"/>
        <v>7.305984237711719E-3</v>
      </c>
      <c r="L40" s="24">
        <f t="shared" si="7"/>
        <v>9.9214077110841292E-3</v>
      </c>
      <c r="M40" s="24">
        <f t="shared" si="7"/>
        <v>7.2232815061971847E-3</v>
      </c>
      <c r="N40" s="6"/>
      <c r="O40" s="25" t="s">
        <v>36</v>
      </c>
      <c r="P40" s="26">
        <f t="shared" si="2"/>
        <v>-0.12479677614440748</v>
      </c>
      <c r="Q40" s="26">
        <f t="shared" si="3"/>
        <v>-0.15815552140670858</v>
      </c>
      <c r="R40" s="26">
        <f t="shared" si="4"/>
        <v>-0.14234605440306708</v>
      </c>
      <c r="S40" s="26">
        <f t="shared" si="5"/>
        <v>-9.6356133291103985E-2</v>
      </c>
      <c r="T40" s="26">
        <f t="shared" si="6"/>
        <v>-0.12821548875229744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0.25152594388839439</v>
      </c>
      <c r="J41" s="24">
        <f t="shared" si="7"/>
        <v>0.24446725699386582</v>
      </c>
      <c r="K41" s="24">
        <f t="shared" si="7"/>
        <v>0.2728305259162484</v>
      </c>
      <c r="L41" s="24">
        <f t="shared" si="7"/>
        <v>0.28265050383679075</v>
      </c>
      <c r="M41" s="24">
        <f t="shared" si="7"/>
        <v>0.29359963848716647</v>
      </c>
      <c r="N41" s="6"/>
      <c r="O41" s="25" t="s">
        <v>38</v>
      </c>
      <c r="P41" s="26">
        <f t="shared" si="2"/>
        <v>0.28585679324216728</v>
      </c>
      <c r="Q41" s="26">
        <f t="shared" si="3"/>
        <v>0.204454850045975</v>
      </c>
      <c r="R41" s="26">
        <f t="shared" si="4"/>
        <v>0.17741668902246072</v>
      </c>
      <c r="S41" s="26">
        <f t="shared" si="5"/>
        <v>0.16814896944700863</v>
      </c>
      <c r="T41" s="26">
        <f t="shared" si="6"/>
        <v>0.10388212768437977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0.19171239088808961</v>
      </c>
      <c r="J42" s="24">
        <f t="shared" si="7"/>
        <v>0.14389579738257485</v>
      </c>
      <c r="K42" s="24">
        <f t="shared" si="7"/>
        <v>4.3305595537589711E-2</v>
      </c>
      <c r="L42" s="24">
        <f t="shared" si="7"/>
        <v>0.35653537166097055</v>
      </c>
      <c r="M42" s="24">
        <f t="shared" si="7"/>
        <v>0.24113992131017511</v>
      </c>
      <c r="N42" s="6"/>
      <c r="O42" s="25" t="s">
        <v>40</v>
      </c>
      <c r="P42" s="26">
        <f t="shared" si="2"/>
        <v>3.5869354337685525E-2</v>
      </c>
      <c r="Q42" s="26">
        <f t="shared" si="3"/>
        <v>0.30680351047347937</v>
      </c>
      <c r="R42" s="26">
        <f t="shared" si="4"/>
        <v>0.21570323576240455</v>
      </c>
      <c r="S42" s="26">
        <f t="shared" si="5"/>
        <v>0.19927942686261951</v>
      </c>
      <c r="T42" s="26">
        <f t="shared" si="6"/>
        <v>0.17960401988719166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-2.5152631063570879E-2</v>
      </c>
      <c r="J43" s="24">
        <f t="shared" si="7"/>
        <v>-2.4446646975097932E-2</v>
      </c>
      <c r="K43" s="24">
        <f t="shared" si="7"/>
        <v>2.7282928008252404E-2</v>
      </c>
      <c r="L43" s="24">
        <f t="shared" si="7"/>
        <v>2.8265050383679075E-2</v>
      </c>
      <c r="M43" s="24">
        <f t="shared" si="7"/>
        <v>2.9359963848716645E-2</v>
      </c>
      <c r="N43" s="6"/>
      <c r="O43" s="2" t="s">
        <v>49</v>
      </c>
      <c r="P43" s="26">
        <f>P24/I11</f>
        <v>0.22593468303679978</v>
      </c>
      <c r="Q43" s="26">
        <f>Q24/J11</f>
        <v>0.26178581325339145</v>
      </c>
      <c r="R43" s="26">
        <f>R24/K11</f>
        <v>0.23331973990314059</v>
      </c>
      <c r="S43" s="26">
        <f>S24/L11</f>
        <v>0.19727742019144073</v>
      </c>
      <c r="T43" s="26">
        <f>T24/M11</f>
        <v>0.26976898751993528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-0.12479677614440748</v>
      </c>
      <c r="J44" s="24">
        <f t="shared" si="7"/>
        <v>-0.15815552140670858</v>
      </c>
      <c r="K44" s="24">
        <f t="shared" si="7"/>
        <v>0.13703963329299601</v>
      </c>
      <c r="L44" s="24">
        <f t="shared" si="7"/>
        <v>0.37294930753052102</v>
      </c>
      <c r="M44" s="24">
        <f t="shared" si="7"/>
        <v>0.12455651652292014</v>
      </c>
      <c r="N44" s="6"/>
      <c r="O44" s="2" t="s">
        <v>50</v>
      </c>
      <c r="P44" s="26">
        <f>P24/B16</f>
        <v>0.16079595891996692</v>
      </c>
      <c r="Q44" s="26">
        <f>Q24/C16</f>
        <v>0.20468195310660653</v>
      </c>
      <c r="R44" s="26">
        <f>R24/D16</f>
        <v>0.19074008879069276</v>
      </c>
      <c r="S44" s="26">
        <f>S24/E16</f>
        <v>0.16059577942111808</v>
      </c>
      <c r="T44" s="26">
        <f>T24/F16</f>
        <v>0.18923286561492059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0</v>
      </c>
      <c r="J45" s="24">
        <f t="shared" si="7"/>
        <v>0</v>
      </c>
      <c r="K45" s="24">
        <f t="shared" si="7"/>
        <v>0</v>
      </c>
      <c r="L45" s="24">
        <f t="shared" si="7"/>
        <v>0.1893295656550438</v>
      </c>
      <c r="M45" s="24">
        <f t="shared" si="7"/>
        <v>0</v>
      </c>
      <c r="N45" s="6"/>
      <c r="O45" s="2" t="s">
        <v>51</v>
      </c>
      <c r="P45" s="26">
        <f>P24/B20</f>
        <v>0.20202334885551257</v>
      </c>
      <c r="Q45" s="26">
        <f>Q24/C20</f>
        <v>0.24597130316304294</v>
      </c>
      <c r="R45" s="26">
        <f>R24/D20</f>
        <v>0.22613113867315793</v>
      </c>
      <c r="S45" s="26">
        <f>S24/E20</f>
        <v>0.19602102345672717</v>
      </c>
      <c r="T45" s="26">
        <f>T24/F20</f>
        <v>0.23029284068908495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0.29328929431582007</v>
      </c>
      <c r="J46" s="24">
        <f t="shared" si="7"/>
        <v>0.20576088599463416</v>
      </c>
      <c r="K46" s="24">
        <f t="shared" si="7"/>
        <v>0.15181272959677344</v>
      </c>
      <c r="L46" s="24">
        <f t="shared" si="7"/>
        <v>4.8641951928517356E-2</v>
      </c>
      <c r="M46" s="24">
        <f t="shared" si="7"/>
        <v>0.38082307942570476</v>
      </c>
      <c r="N46" s="6"/>
      <c r="O46" s="2" t="s">
        <v>52</v>
      </c>
      <c r="P46" s="26">
        <f>P24/I22</f>
        <v>0.89825597926013623</v>
      </c>
      <c r="Q46" s="26">
        <f>Q24/J22</f>
        <v>1.0708420279774327</v>
      </c>
      <c r="R46" s="26">
        <f>R24/K22</f>
        <v>0.85518194534713987</v>
      </c>
      <c r="S46" s="26">
        <f>S24/L22</f>
        <v>0.69795531058155658</v>
      </c>
      <c r="T46" s="26">
        <f>T24/M22</f>
        <v>0.91883283273091343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0.78793583960156188</v>
      </c>
      <c r="Q47" s="26">
        <f>Q24/(C22-C20)</f>
        <v>1.2193431640549801</v>
      </c>
      <c r="R47" s="26">
        <f>R24/(D22-D20)</f>
        <v>1.2187339344863266</v>
      </c>
      <c r="S47" s="26">
        <f>S24/(E22-E20)</f>
        <v>0.88863605324256467</v>
      </c>
      <c r="T47" s="26">
        <f>T24/(F22-F20)</f>
        <v>1.0613492603315424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>
        <f>P24/I25</f>
        <v>-1.8104208299047844</v>
      </c>
      <c r="Q48" s="26">
        <f>Q24/J25</f>
        <v>-1.65524295911358</v>
      </c>
      <c r="R48" s="26">
        <f>R24/K25</f>
        <v>1.7025712510795619</v>
      </c>
      <c r="S48" s="26">
        <f>S24/L25</f>
        <v>0.52896577687115331</v>
      </c>
      <c r="T48" s="26">
        <f>T24/M25</f>
        <v>2.1658360000000001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5.9991819961242197</v>
      </c>
      <c r="Q49" s="26">
        <f>Q24/(Q18*-1)</f>
        <v>22.17417397392725</v>
      </c>
      <c r="R49" s="26">
        <f>R24/(R18*-1)</f>
        <v>4.4210476617643586</v>
      </c>
      <c r="S49" s="26">
        <f>S24/(S18*-1)</f>
        <v>2.7956228021469554</v>
      </c>
      <c r="T49" s="26">
        <f>T24/(T18*-1)</f>
        <v>4.097864256955166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8.6038509255530943E-2</v>
      </c>
      <c r="J50" s="28">
        <f>LN(J13/K13)</f>
        <v>5.1919081690919425E-2</v>
      </c>
      <c r="K50" s="28">
        <f>LN(K13/L13)</f>
        <v>5.2695046529208991E-2</v>
      </c>
      <c r="L50" s="28">
        <f>LN(L13/M13)</f>
        <v>3.8833279122240374E-3</v>
      </c>
      <c r="O50" s="2"/>
      <c r="P50" s="12"/>
      <c r="Q50" s="12"/>
      <c r="R50" s="12"/>
    </row>
    <row r="51" spans="1:29">
      <c r="A51" s="29" t="s">
        <v>57</v>
      </c>
      <c r="B51" s="30">
        <f>B11/B17</f>
        <v>4.0556010286222524</v>
      </c>
      <c r="C51" s="30">
        <f>C11/C17</f>
        <v>6.3015829957346563</v>
      </c>
      <c r="D51" s="30">
        <f>D11/D17</f>
        <v>5.6500982211294799</v>
      </c>
      <c r="E51" s="30">
        <f>E11/E17</f>
        <v>3.6346125529488713</v>
      </c>
      <c r="F51" s="30">
        <f>F11/F17</f>
        <v>3.7332141258083347</v>
      </c>
      <c r="H51" s="29" t="s">
        <v>58</v>
      </c>
      <c r="I51" s="63">
        <f>I13/I11</f>
        <v>0.37120879548079289</v>
      </c>
      <c r="J51" s="63">
        <f>J13/J11</f>
        <v>0.36556450038417454</v>
      </c>
      <c r="K51" s="63">
        <f>K13/K11</f>
        <v>0.36616423576821844</v>
      </c>
      <c r="L51" s="63">
        <f>L13/L11</f>
        <v>0.39017346837393863</v>
      </c>
      <c r="M51" s="63">
        <f>M13/M11</f>
        <v>0.41513740327563708</v>
      </c>
      <c r="O51" s="2" t="s">
        <v>59</v>
      </c>
      <c r="P51" s="32">
        <f>(P11-P24-P25)/B16</f>
        <v>0.27701511750855401</v>
      </c>
      <c r="Q51" s="32">
        <f>(Q11-Q24-Q25)/C16</f>
        <v>-5.3639492996151459E-3</v>
      </c>
      <c r="R51" s="32">
        <f>(R11-R24-R25)/D16</f>
        <v>8.1344279002532272E-2</v>
      </c>
      <c r="S51" s="32">
        <f>(S11-S24-S25)/E16</f>
        <v>0.13438945899507315</v>
      </c>
      <c r="T51" s="32">
        <f>(T11-T24-T25)/F16</f>
        <v>6.7961585790139362E-2</v>
      </c>
    </row>
    <row r="52" spans="1:29">
      <c r="A52" s="29" t="s">
        <v>60</v>
      </c>
      <c r="B52" s="31">
        <f>I20/B16</f>
        <v>0.18791789526820599</v>
      </c>
      <c r="C52" s="31">
        <f>J20/C16</f>
        <v>0.19831593719849136</v>
      </c>
      <c r="D52" s="31">
        <f>K20/D16</f>
        <v>0.22901303954163171</v>
      </c>
      <c r="E52" s="31">
        <f>L20/E16</f>
        <v>0.23817127234410154</v>
      </c>
      <c r="F52" s="31">
        <f>M20/F16</f>
        <v>0.21101603900554181</v>
      </c>
      <c r="G52" s="31"/>
      <c r="H52" s="29" t="s">
        <v>61</v>
      </c>
      <c r="I52" s="63">
        <f>I16/I11</f>
        <v>8.8095272150345863E-2</v>
      </c>
      <c r="J52" s="63">
        <f>J16/J11</f>
        <v>9.2641562015845627E-2</v>
      </c>
      <c r="K52" s="63">
        <f>K16/K11</f>
        <v>7.3037832647986356E-2</v>
      </c>
      <c r="L52" s="63">
        <f>L16/L11</f>
        <v>6.6550862490781765E-2</v>
      </c>
      <c r="M52" s="63">
        <f>M16/M11</f>
        <v>8.6363004522398007E-2</v>
      </c>
      <c r="O52" s="6"/>
    </row>
    <row r="53" spans="1:29">
      <c r="A53" s="29" t="s">
        <v>62</v>
      </c>
      <c r="B53" s="31">
        <f>I20/B20</f>
        <v>0.23609923263592839</v>
      </c>
      <c r="C53" s="31">
        <f>J20/C20</f>
        <v>0.23832110633274306</v>
      </c>
      <c r="D53" s="31">
        <f>K20/D20</f>
        <v>0.27150548021070797</v>
      </c>
      <c r="E53" s="31">
        <f>L20/E20</f>
        <v>0.29070861470436921</v>
      </c>
      <c r="F53" s="31">
        <f>M20/F20</f>
        <v>0.25680255327546725</v>
      </c>
      <c r="H53" s="29" t="s">
        <v>11</v>
      </c>
      <c r="I53" s="63">
        <f>I17/I11</f>
        <v>3.5289160086302979E-2</v>
      </c>
      <c r="J53" s="63">
        <f>J17/J11</f>
        <v>3.846980451184643E-2</v>
      </c>
      <c r="K53" s="63">
        <f>K17/K11</f>
        <v>3.2890425601716927E-2</v>
      </c>
      <c r="L53" s="63">
        <f>L17/L11</f>
        <v>3.1267127488922963E-2</v>
      </c>
      <c r="M53" s="63">
        <f>M17/M11</f>
        <v>2.7551403228803843E-2</v>
      </c>
      <c r="O53" s="6"/>
    </row>
    <row r="54" spans="1:29">
      <c r="A54" s="29" t="s">
        <v>63</v>
      </c>
      <c r="B54" s="30" t="e">
        <f>I11/B12</f>
        <v>#DIV/0!</v>
      </c>
      <c r="C54" s="30">
        <f>J11/C12</f>
        <v>8790.6989619377164</v>
      </c>
      <c r="D54" s="30">
        <f>K11/D12</f>
        <v>2545.4820295983086</v>
      </c>
      <c r="E54" s="30">
        <f>L11/E12</f>
        <v>971.82638259292833</v>
      </c>
      <c r="F54" s="30">
        <f>M11/F12</f>
        <v>755.97777777777776</v>
      </c>
      <c r="H54" s="29" t="s">
        <v>64</v>
      </c>
      <c r="I54" s="63">
        <f>I25/I22</f>
        <v>-0.49615866345692583</v>
      </c>
      <c r="J54" s="63">
        <f>J25/J22</f>
        <v>-0.64693948527706935</v>
      </c>
      <c r="K54" s="63">
        <f>K25/K22</f>
        <v>0.50228849148303689</v>
      </c>
      <c r="L54" s="63">
        <f>L25/L22</f>
        <v>1.3194715822826588</v>
      </c>
      <c r="M54" s="63">
        <f>M25/M22</f>
        <v>0.42423933886541432</v>
      </c>
      <c r="O54" s="6"/>
    </row>
    <row r="55" spans="1:29">
      <c r="A55" s="29" t="s">
        <v>65</v>
      </c>
      <c r="B55" s="31">
        <f>(B22-B20)/B16</f>
        <v>0.20407240137887003</v>
      </c>
      <c r="C55" s="31">
        <f>(C22-C20)/C16</f>
        <v>0.16786246820454345</v>
      </c>
      <c r="D55" s="31">
        <f>(D22-D20)/D16</f>
        <v>0.15650675130424274</v>
      </c>
      <c r="E55" s="31">
        <f>(E22-E20)/E16</f>
        <v>0.18072165633514017</v>
      </c>
      <c r="F55" s="31">
        <f>(F22-F20)/F16</f>
        <v>0.17829462240903465</v>
      </c>
      <c r="H55" s="29" t="s">
        <v>66</v>
      </c>
      <c r="I55" s="63">
        <f>I22/I11</f>
        <v>0.25152594388839439</v>
      </c>
      <c r="J55" s="63">
        <f>J22/J11</f>
        <v>0.24446725699386582</v>
      </c>
      <c r="K55" s="63">
        <f>K22/K11</f>
        <v>0.2728305259162484</v>
      </c>
      <c r="L55" s="63">
        <f>L22/L11</f>
        <v>0.28265050383679075</v>
      </c>
      <c r="M55" s="63">
        <f>M22/M11</f>
        <v>0.29359963848716647</v>
      </c>
      <c r="N55" s="31"/>
      <c r="O55" s="6"/>
    </row>
    <row r="56" spans="1:29">
      <c r="A56" s="29" t="s">
        <v>67</v>
      </c>
      <c r="B56" s="31">
        <f>(B22-B20)/B20</f>
        <v>0.25639568439693056</v>
      </c>
      <c r="C56" s="31">
        <f>(C22-C20)/C20</f>
        <v>0.20172442870393795</v>
      </c>
      <c r="D56" s="31">
        <f>(D22-D20)/D20</f>
        <v>0.18554594425769225</v>
      </c>
      <c r="E56" s="31">
        <f>(E22-E20)/E20</f>
        <v>0.22058639500553859</v>
      </c>
      <c r="F56" s="31">
        <f>(F22-F20)/F20</f>
        <v>0.21698120429946546</v>
      </c>
      <c r="H56" s="33" t="s">
        <v>68</v>
      </c>
      <c r="I56" s="34">
        <f>I13/B16</f>
        <v>0.26418641629774908</v>
      </c>
      <c r="J56" s="34">
        <f>J13/C16</f>
        <v>0.28582318879384233</v>
      </c>
      <c r="K56" s="34">
        <f>K13/D16</f>
        <v>0.29934114820889202</v>
      </c>
      <c r="L56" s="34">
        <f>L13/E16</f>
        <v>0.31762485641867838</v>
      </c>
      <c r="M56" s="34">
        <f>M13/F16</f>
        <v>0.29120337800126306</v>
      </c>
      <c r="O56" s="6"/>
    </row>
    <row r="57" spans="1:29">
      <c r="A57" s="29" t="s">
        <v>69</v>
      </c>
      <c r="B57" s="30">
        <f>I11/B16</f>
        <v>0.71169223228014433</v>
      </c>
      <c r="C57" s="30">
        <f>J11/C16</f>
        <v>0.78186801096241176</v>
      </c>
      <c r="D57" s="30">
        <f>K11/D16</f>
        <v>0.81750514924230522</v>
      </c>
      <c r="E57" s="30">
        <f>L11/E16</f>
        <v>0.81406062216990538</v>
      </c>
      <c r="F57" s="30">
        <f>M11/F16</f>
        <v>0.70146263792066432</v>
      </c>
      <c r="H57" s="33" t="s">
        <v>70</v>
      </c>
      <c r="I57" s="35">
        <f ca="1">I25/$C$5</f>
        <v>-4.5465947045174947E-2</v>
      </c>
      <c r="J57" s="35">
        <f ca="1">J25/$C$5</f>
        <v>-5.3685305216184059E-2</v>
      </c>
      <c r="K57" s="35">
        <f ca="1">K25/$C$5</f>
        <v>4.409173385204098E-2</v>
      </c>
      <c r="L57" s="35">
        <f ca="1">L25/$C$5</f>
        <v>0.10683014447551573</v>
      </c>
      <c r="M57" s="35">
        <f ca="1">M25/$C$5</f>
        <v>3.3403334786921757E-2</v>
      </c>
      <c r="O57" s="6"/>
    </row>
    <row r="58" spans="1:29">
      <c r="A58" s="29" t="s">
        <v>71</v>
      </c>
      <c r="B58" s="30">
        <f>B16/B20</f>
        <v>1.2563956843969306</v>
      </c>
      <c r="C58" s="30">
        <f>C16/C20</f>
        <v>1.2017244287039379</v>
      </c>
      <c r="D58" s="30">
        <f>D16/D20</f>
        <v>1.1855459442576923</v>
      </c>
      <c r="E58" s="30">
        <f>E16/E20</f>
        <v>1.2205863950055387</v>
      </c>
      <c r="F58" s="30">
        <f>F16/F20</f>
        <v>1.2169812042994654</v>
      </c>
      <c r="H58" s="36" t="s">
        <v>72</v>
      </c>
      <c r="I58" s="37">
        <f ca="1">I22/$C$7/1000</f>
        <v>3.6471088628777868</v>
      </c>
      <c r="J58" s="37">
        <f ca="1">J22/$C$7/1000</f>
        <v>3.3027433889281914</v>
      </c>
      <c r="K58" s="37">
        <f ca="1">K22/$C$7/1000</f>
        <v>3.4937112925525704</v>
      </c>
      <c r="L58" s="37">
        <f ca="1">L22/$C$7/1000</f>
        <v>3.2223806321246604</v>
      </c>
      <c r="M58" s="37">
        <f ca="1">M22/$C$7/1000</f>
        <v>3.1337327260953542</v>
      </c>
      <c r="O58" s="6"/>
    </row>
    <row r="59" spans="1:29">
      <c r="H59" s="36" t="s">
        <v>73</v>
      </c>
      <c r="I59" s="37">
        <f ca="1">B20/$C$7/1000</f>
        <v>16.216132252295431</v>
      </c>
      <c r="J59" s="37">
        <f ca="1">C20/$C$7/1000</f>
        <v>14.378573366115793</v>
      </c>
      <c r="K59" s="37">
        <f ca="1">D20/$C$7/1000</f>
        <v>13.21250508522305</v>
      </c>
      <c r="L59" s="37">
        <f ca="1">E20/$C$7/1000</f>
        <v>11.47365540310556</v>
      </c>
      <c r="M59" s="37">
        <f ca="1">F20/$C$7/1000</f>
        <v>12.503109124556619</v>
      </c>
      <c r="N59" s="65"/>
      <c r="O59" s="6"/>
    </row>
    <row r="60" spans="1:29">
      <c r="H60" s="33" t="s">
        <v>74</v>
      </c>
      <c r="I60" s="38">
        <f ca="1">SQRT(22.5*I58*I59)</f>
        <v>36.478692305594812</v>
      </c>
      <c r="J60" s="38">
        <f ca="1">SQRT(22.5*J58*J59)</f>
        <v>32.687866370582412</v>
      </c>
      <c r="K60" s="38">
        <f ca="1">SQRT(22.5*K58*K59)</f>
        <v>32.22755435851316</v>
      </c>
      <c r="L60" s="38">
        <f ca="1">SQRT(22.5*L58*L59)</f>
        <v>28.842345802472376</v>
      </c>
      <c r="M60" s="38">
        <f ca="1">SQRT(22.5*M58*M59)</f>
        <v>29.691439009168985</v>
      </c>
      <c r="O60" s="6"/>
    </row>
    <row r="61" spans="1:29">
      <c r="H61" s="33" t="s">
        <v>75</v>
      </c>
      <c r="I61" s="39">
        <f ca="1">I58-(B20*0.08/1000/$C$7)</f>
        <v>2.3498182826941525</v>
      </c>
      <c r="J61" s="39">
        <f ca="1">J58-(C20*0.08/1000/$C$7)</f>
        <v>2.1524575196389275</v>
      </c>
      <c r="K61" s="39">
        <f ca="1">K58-(D20*0.08/1000/$C$7)</f>
        <v>2.4367108857347262</v>
      </c>
      <c r="L61" s="39">
        <f ca="1">L58-(E20*0.08/1000/$C$7)</f>
        <v>2.3044881998762157</v>
      </c>
      <c r="M61" s="39">
        <f ca="1">M58-(F20*0.08/1000/$C$7)</f>
        <v>2.1334839961308245</v>
      </c>
      <c r="O61" s="6"/>
    </row>
    <row r="62" spans="1:29">
      <c r="H62" s="2" t="s">
        <v>76</v>
      </c>
      <c r="I62" s="41">
        <f ca="1">I25/$C$7/1000</f>
        <v>-1.8095446588873512</v>
      </c>
      <c r="J62" s="41">
        <f ca="1">J25/$C$7/1000</f>
        <v>-2.136675108035448</v>
      </c>
      <c r="K62" s="41">
        <f ca="1">K25/$C$7/1000</f>
        <v>1.7548509748134815</v>
      </c>
      <c r="L62" s="41">
        <f ca="1">L25/$C$7/1000</f>
        <v>4.2518396713865201</v>
      </c>
      <c r="M62" s="41">
        <f ca="1">M25/$C$7/1000</f>
        <v>1.3294526998996057</v>
      </c>
      <c r="O62" s="6"/>
    </row>
    <row r="63" spans="1:29">
      <c r="A63" s="2"/>
      <c r="H63" s="6"/>
      <c r="I63" s="82"/>
      <c r="J63" s="82"/>
      <c r="K63" s="82"/>
      <c r="L63" s="82"/>
      <c r="O63" s="6"/>
    </row>
    <row r="64" spans="1:29">
      <c r="H64" s="2" t="s">
        <v>85</v>
      </c>
      <c r="I64" s="47"/>
      <c r="J64" s="47">
        <f ca="1">SUM(J62:L62)</f>
        <v>3.8700155381645533</v>
      </c>
      <c r="O64" s="6"/>
    </row>
    <row r="65" spans="8:15">
      <c r="H65" s="6"/>
      <c r="O65" s="6"/>
    </row>
    <row r="66" spans="8:15">
      <c r="H66" s="6"/>
      <c r="O66" s="6"/>
    </row>
    <row r="67" spans="8:15">
      <c r="H67" s="6"/>
      <c r="O67" s="6"/>
    </row>
    <row r="68" spans="8:15">
      <c r="H68" s="6"/>
      <c r="O68" s="6"/>
    </row>
    <row r="69" spans="8:15">
      <c r="H69" s="6"/>
      <c r="O69" s="6"/>
    </row>
    <row r="70" spans="8:15">
      <c r="H70" s="6"/>
      <c r="O70" s="6"/>
    </row>
    <row r="71" spans="8:15">
      <c r="H71" s="6"/>
      <c r="O71" s="6"/>
    </row>
    <row r="72" spans="8:15">
      <c r="H72" s="6"/>
      <c r="O72" s="6"/>
    </row>
    <row r="73" spans="8:15">
      <c r="H73" s="6"/>
      <c r="O73" s="6"/>
    </row>
    <row r="74" spans="8:15">
      <c r="H74" s="2" t="s">
        <v>86</v>
      </c>
      <c r="I74" s="6"/>
      <c r="J74" s="6">
        <f ca="1">J59*$C$7/$C$5</f>
        <v>3.6127069428115185E-4</v>
      </c>
      <c r="K74" s="6">
        <f ca="1">K59*$C$7/$C$5</f>
        <v>3.3197249572620367E-4</v>
      </c>
      <c r="L74" s="6">
        <f ca="1">L59*$C$7/$C$5</f>
        <v>2.8828280441165811E-4</v>
      </c>
      <c r="M74" s="6">
        <f ca="1">M59*$C$7/$C$5</f>
        <v>3.1414847628390223E-4</v>
      </c>
      <c r="O74" s="6"/>
    </row>
    <row r="75" spans="8:15">
      <c r="H75" s="2" t="s">
        <v>87</v>
      </c>
      <c r="O75" s="6"/>
    </row>
    <row r="76" spans="8:15">
      <c r="H76" s="2" t="s">
        <v>88</v>
      </c>
      <c r="O76" s="6"/>
    </row>
    <row r="77" spans="8:15">
      <c r="H77" s="2" t="s">
        <v>89</v>
      </c>
      <c r="I77" s="28"/>
      <c r="J77" s="28">
        <f ca="1">(J15-J16)/$C$6</f>
        <v>9.9302667883837623E-5</v>
      </c>
      <c r="K77" s="28">
        <f ca="1">(K15-K16)/$C$6</f>
        <v>1.008781520251136E-4</v>
      </c>
      <c r="L77" s="28">
        <f ca="1">(L15-L16)/$C$6</f>
        <v>9.3018368830959002E-5</v>
      </c>
      <c r="M77" s="28">
        <f ca="1">(M15-M16)/$C$6</f>
        <v>8.8500626968463701E-5</v>
      </c>
      <c r="O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zoomScaleNormal="100" workbookViewId="0"/>
  </sheetViews>
  <sheetFormatPr defaultRowHeight="15"/>
  <cols>
    <col min="1" max="29" width="15.140625"/>
    <col min="30" max="1025" width="14.42578125"/>
  </cols>
  <sheetData>
    <row r="1" spans="1:20">
      <c r="A1" s="2"/>
      <c r="B1" s="1">
        <v>4260</v>
      </c>
      <c r="C1" s="1">
        <v>4260</v>
      </c>
    </row>
    <row r="2" spans="1:20">
      <c r="A2" s="2"/>
      <c r="B2" t="str">
        <f ca="1">IFERROR(__xludf.dummyfunction("GoogleFinance(""TADAWUL:""&amp;B1,""eps"")"),"2.29")</f>
        <v>2.29</v>
      </c>
      <c r="C2" t="str">
        <f ca="1">IFERROR(__xludf.dummyfunction("GoogleFinance(""TADAWUL:""&amp;B1,""eps"")"),"2.29")</f>
        <v>2.29</v>
      </c>
    </row>
    <row r="3" spans="1:20">
      <c r="A3" s="2"/>
    </row>
    <row r="4" spans="1:20">
      <c r="A4" s="2"/>
    </row>
    <row r="5" spans="1:20">
      <c r="A5" s="2" t="s">
        <v>0</v>
      </c>
      <c r="B5" s="3" t="str">
        <f ca="1">IFERROR(__xludf.dummyfunction("GoogleFinance(""TADAWUL:""&amp;B1,""marketcap"")/1000"),"1,745,736.79")</f>
        <v>1,745,736.79</v>
      </c>
      <c r="C5" s="3" t="str">
        <f ca="1">IFERROR(__xludf.dummyfunction("GoogleFinance(""TADAWUL:""&amp;B1,""marketcap"")/1000"),"1,745,736.79")</f>
        <v>1,745,736.79</v>
      </c>
    </row>
    <row r="6" spans="1:20">
      <c r="A6" s="2" t="s">
        <v>1</v>
      </c>
      <c r="B6" s="4">
        <f ca="1">B5*1000+(B22-B20)-P23</f>
        <v>1746360504</v>
      </c>
      <c r="C6" s="4">
        <f ca="1">C5*1000+(C22-C20)-Q23</f>
        <v>1746516002</v>
      </c>
    </row>
    <row r="7" spans="1:20">
      <c r="A7" s="2" t="s">
        <v>2</v>
      </c>
      <c r="B7" s="5" t="str">
        <f ca="1">IFERROR(__xludf.dummyfunction("GoogleFinance(""TADAWUL:""&amp;B1,""shares"")/1000000"),"71.196442")</f>
        <v>71.196442</v>
      </c>
      <c r="C7" s="5" t="str">
        <f ca="1">IFERROR(__xludf.dummyfunction("GoogleFinance(""TADAWUL:""&amp;B1,""shares"")/1000000"),"71.196442")</f>
        <v>71.196442</v>
      </c>
    </row>
    <row r="9" spans="1:20">
      <c r="J9" s="83">
        <f>J12+J17</f>
        <v>735067</v>
      </c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9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9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9">
        <v>41274</v>
      </c>
    </row>
    <row r="11" spans="1:20">
      <c r="A11" s="10" t="s">
        <v>6</v>
      </c>
      <c r="B11" s="11">
        <v>222268</v>
      </c>
      <c r="C11" s="11">
        <v>174280</v>
      </c>
      <c r="D11" s="11">
        <v>167704</v>
      </c>
      <c r="E11" s="11">
        <v>156123</v>
      </c>
      <c r="F11" s="12">
        <v>111178</v>
      </c>
      <c r="H11" s="10" t="s">
        <v>7</v>
      </c>
      <c r="I11" s="11">
        <v>1010088</v>
      </c>
      <c r="J11" s="11">
        <v>1018743</v>
      </c>
      <c r="K11" s="11">
        <v>893069</v>
      </c>
      <c r="L11" s="11">
        <v>780160</v>
      </c>
      <c r="M11" s="12">
        <v>694642</v>
      </c>
      <c r="O11" s="10" t="s">
        <v>8</v>
      </c>
      <c r="P11" s="11">
        <v>174450</v>
      </c>
      <c r="Q11" s="11">
        <v>188768</v>
      </c>
      <c r="R11" s="11">
        <v>171051</v>
      </c>
      <c r="S11" s="11">
        <v>150207</v>
      </c>
      <c r="T11" s="12">
        <v>125776</v>
      </c>
    </row>
    <row r="12" spans="1:20">
      <c r="A12" s="10" t="s">
        <v>9</v>
      </c>
      <c r="B12" s="11">
        <v>2152</v>
      </c>
      <c r="C12" s="11">
        <v>3643</v>
      </c>
      <c r="D12" s="11">
        <v>4288</v>
      </c>
      <c r="E12" s="11">
        <v>4761</v>
      </c>
      <c r="F12" s="12">
        <v>4234</v>
      </c>
      <c r="H12" s="10" t="s">
        <v>10</v>
      </c>
      <c r="I12" s="11">
        <v>211421</v>
      </c>
      <c r="J12" s="11">
        <v>232432</v>
      </c>
      <c r="K12" s="11">
        <v>206979</v>
      </c>
      <c r="L12" s="11">
        <v>170060</v>
      </c>
      <c r="M12" s="12">
        <v>160549</v>
      </c>
      <c r="O12" s="10" t="s">
        <v>11</v>
      </c>
      <c r="P12" s="11">
        <v>520673</v>
      </c>
      <c r="Q12" s="11">
        <v>502635</v>
      </c>
      <c r="R12" s="11">
        <v>431183</v>
      </c>
      <c r="S12" s="11">
        <v>383614</v>
      </c>
      <c r="T12" s="12">
        <v>330310</v>
      </c>
    </row>
    <row r="13" spans="1:20">
      <c r="A13" s="10" t="s">
        <v>12</v>
      </c>
      <c r="B13" s="11">
        <v>17951</v>
      </c>
      <c r="C13" s="11">
        <v>26061</v>
      </c>
      <c r="D13" s="11">
        <v>27919</v>
      </c>
      <c r="E13" s="18"/>
      <c r="F13" s="12">
        <v>27161</v>
      </c>
      <c r="H13" s="10" t="s">
        <v>13</v>
      </c>
      <c r="I13" s="11">
        <v>798667</v>
      </c>
      <c r="J13" s="11">
        <v>786311</v>
      </c>
      <c r="K13" s="11">
        <v>686090</v>
      </c>
      <c r="L13" s="11">
        <v>610100</v>
      </c>
      <c r="M13" s="12">
        <v>534093</v>
      </c>
      <c r="O13" s="10" t="s">
        <v>14</v>
      </c>
      <c r="P13" s="13">
        <v>-40763</v>
      </c>
      <c r="Q13" s="13">
        <v>-19448</v>
      </c>
      <c r="R13" s="13">
        <v>-14753</v>
      </c>
      <c r="S13" s="13">
        <v>-16197</v>
      </c>
      <c r="T13" s="12">
        <v>21890</v>
      </c>
    </row>
    <row r="14" spans="1:20">
      <c r="A14" s="10" t="s">
        <v>15</v>
      </c>
      <c r="B14" s="11">
        <v>1397426</v>
      </c>
      <c r="C14" s="11">
        <v>1498810</v>
      </c>
      <c r="D14" s="11">
        <v>1363072</v>
      </c>
      <c r="E14" s="11">
        <v>1181310</v>
      </c>
      <c r="F14" s="12">
        <v>1003139</v>
      </c>
      <c r="H14" s="10" t="s">
        <v>16</v>
      </c>
      <c r="I14" s="11">
        <v>9577</v>
      </c>
      <c r="J14" s="11">
        <v>3477</v>
      </c>
      <c r="K14" s="11">
        <v>2952</v>
      </c>
      <c r="L14" s="11">
        <v>4880</v>
      </c>
      <c r="M14" s="12">
        <v>3125</v>
      </c>
      <c r="O14" s="10" t="s">
        <v>9</v>
      </c>
      <c r="P14" s="11">
        <v>1491</v>
      </c>
      <c r="Q14" s="11">
        <v>644</v>
      </c>
      <c r="R14" s="11">
        <v>473</v>
      </c>
      <c r="S14" s="13">
        <v>-525</v>
      </c>
      <c r="T14" s="14">
        <v>-122</v>
      </c>
    </row>
    <row r="15" spans="1:20">
      <c r="A15" s="10" t="s">
        <v>17</v>
      </c>
      <c r="B15" s="18"/>
      <c r="C15" s="18"/>
      <c r="D15" s="18"/>
      <c r="E15" s="18"/>
      <c r="F15" s="45">
        <v>0</v>
      </c>
      <c r="H15" s="10" t="s">
        <v>18</v>
      </c>
      <c r="I15" s="11">
        <v>808244</v>
      </c>
      <c r="J15" s="11">
        <v>789788</v>
      </c>
      <c r="K15" s="11">
        <v>689042</v>
      </c>
      <c r="L15" s="11">
        <v>614980</v>
      </c>
      <c r="M15" s="12">
        <v>537218</v>
      </c>
      <c r="O15" s="10" t="s">
        <v>19</v>
      </c>
      <c r="P15" s="13">
        <v>-5743</v>
      </c>
      <c r="Q15" s="11">
        <v>16774</v>
      </c>
      <c r="R15" s="13">
        <v>-13907</v>
      </c>
      <c r="S15" s="11">
        <v>2210</v>
      </c>
      <c r="T15" s="14">
        <v>-735</v>
      </c>
    </row>
    <row r="16" spans="1:20">
      <c r="A16" s="10" t="s">
        <v>20</v>
      </c>
      <c r="B16" s="11">
        <v>1639797</v>
      </c>
      <c r="C16" s="11">
        <v>1702794</v>
      </c>
      <c r="D16" s="11">
        <v>1562983</v>
      </c>
      <c r="E16" s="11">
        <v>1342194</v>
      </c>
      <c r="F16" s="12">
        <v>1145712</v>
      </c>
      <c r="H16" s="10" t="s">
        <v>21</v>
      </c>
      <c r="I16" s="11">
        <v>81463</v>
      </c>
      <c r="J16" s="11">
        <v>75792</v>
      </c>
      <c r="K16" s="11">
        <v>66307</v>
      </c>
      <c r="L16" s="11">
        <v>63006</v>
      </c>
      <c r="M16" s="12">
        <v>66965</v>
      </c>
      <c r="O16" s="10" t="s">
        <v>22</v>
      </c>
      <c r="P16" s="11">
        <v>24117</v>
      </c>
      <c r="Q16" s="11">
        <v>11990</v>
      </c>
      <c r="R16" s="13">
        <v>-21084</v>
      </c>
      <c r="S16" s="11">
        <v>4445</v>
      </c>
      <c r="T16" s="14">
        <v>-39378</v>
      </c>
    </row>
    <row r="17" spans="1:29">
      <c r="A17" s="10" t="s">
        <v>23</v>
      </c>
      <c r="B17" s="11">
        <v>513653</v>
      </c>
      <c r="C17" s="11">
        <v>516376</v>
      </c>
      <c r="D17" s="11">
        <v>472801</v>
      </c>
      <c r="E17" s="11">
        <v>423502</v>
      </c>
      <c r="F17" s="12">
        <v>357050</v>
      </c>
      <c r="H17" s="10" t="s">
        <v>11</v>
      </c>
      <c r="I17" s="11">
        <v>520673</v>
      </c>
      <c r="J17" s="11">
        <v>502635</v>
      </c>
      <c r="K17" s="11">
        <v>431140</v>
      </c>
      <c r="L17" s="11">
        <v>383614</v>
      </c>
      <c r="M17" s="12">
        <v>330311</v>
      </c>
      <c r="O17" s="10" t="s">
        <v>24</v>
      </c>
      <c r="P17" s="13">
        <v>-117130</v>
      </c>
      <c r="Q17" s="13">
        <v>-93937</v>
      </c>
      <c r="R17" s="13">
        <v>-104574</v>
      </c>
      <c r="S17" s="13">
        <v>-109836</v>
      </c>
      <c r="T17" s="14">
        <v>-107838</v>
      </c>
    </row>
    <row r="18" spans="1:29">
      <c r="A18" s="10" t="s">
        <v>25</v>
      </c>
      <c r="B18" s="11">
        <v>130806</v>
      </c>
      <c r="C18" s="11">
        <v>284914</v>
      </c>
      <c r="D18" s="11">
        <v>303208</v>
      </c>
      <c r="E18" s="11">
        <v>229982</v>
      </c>
      <c r="F18" s="12">
        <v>195118</v>
      </c>
      <c r="H18" s="10" t="s">
        <v>26</v>
      </c>
      <c r="I18" s="11">
        <v>24173</v>
      </c>
      <c r="J18" s="11">
        <v>16822</v>
      </c>
      <c r="K18" s="11">
        <v>13973</v>
      </c>
      <c r="L18" s="11">
        <v>13278</v>
      </c>
      <c r="M18" s="12">
        <v>9509</v>
      </c>
      <c r="O18" s="10" t="s">
        <v>27</v>
      </c>
      <c r="P18" s="13">
        <v>-594505</v>
      </c>
      <c r="Q18" s="13">
        <v>-781908</v>
      </c>
      <c r="R18" s="13">
        <v>-764394</v>
      </c>
      <c r="S18" s="13">
        <v>-634883</v>
      </c>
      <c r="T18" s="14">
        <v>-571347</v>
      </c>
    </row>
    <row r="19" spans="1:29">
      <c r="A19" s="10" t="s">
        <v>28</v>
      </c>
      <c r="B19" s="18"/>
      <c r="C19" s="18"/>
      <c r="D19" s="18"/>
      <c r="E19" s="18"/>
      <c r="F19" s="12">
        <v>95</v>
      </c>
      <c r="H19" s="10" t="s">
        <v>29</v>
      </c>
      <c r="I19" s="11">
        <v>626309</v>
      </c>
      <c r="J19" s="11">
        <v>595249</v>
      </c>
      <c r="K19" s="11">
        <v>511420</v>
      </c>
      <c r="L19" s="11">
        <v>459898</v>
      </c>
      <c r="M19" s="12">
        <v>406785</v>
      </c>
      <c r="O19" s="10" t="s">
        <v>30</v>
      </c>
      <c r="P19" s="11">
        <v>314614</v>
      </c>
      <c r="Q19" s="11">
        <v>275075</v>
      </c>
      <c r="R19" s="11">
        <v>252319</v>
      </c>
      <c r="S19" s="11">
        <v>191461</v>
      </c>
      <c r="T19" s="12">
        <v>168283</v>
      </c>
    </row>
    <row r="20" spans="1:29">
      <c r="A20" s="10" t="s">
        <v>31</v>
      </c>
      <c r="B20" s="11">
        <v>995338</v>
      </c>
      <c r="C20" s="11">
        <v>901504</v>
      </c>
      <c r="D20" s="11">
        <v>786447</v>
      </c>
      <c r="E20" s="11">
        <v>688710</v>
      </c>
      <c r="F20" s="12">
        <v>593449</v>
      </c>
      <c r="H20" s="10" t="s">
        <v>32</v>
      </c>
      <c r="I20" s="11">
        <v>181935</v>
      </c>
      <c r="J20" s="11">
        <v>194539</v>
      </c>
      <c r="K20" s="11">
        <v>177622</v>
      </c>
      <c r="L20" s="11">
        <v>155082</v>
      </c>
      <c r="M20" s="12">
        <v>130433</v>
      </c>
      <c r="O20" s="10" t="s">
        <v>33</v>
      </c>
      <c r="P20" s="13">
        <v>-184424</v>
      </c>
      <c r="Q20" s="13">
        <v>-6509</v>
      </c>
      <c r="R20" s="11">
        <v>143477</v>
      </c>
      <c r="S20" s="11">
        <v>90429</v>
      </c>
      <c r="T20" s="12">
        <v>109341</v>
      </c>
    </row>
    <row r="21" spans="1:29">
      <c r="A21" s="10" t="s">
        <v>34</v>
      </c>
      <c r="B21" s="15"/>
      <c r="C21" s="15"/>
      <c r="D21" s="15"/>
      <c r="E21" s="18"/>
      <c r="F21" s="17"/>
      <c r="H21" s="10" t="s">
        <v>35</v>
      </c>
      <c r="I21" s="11">
        <v>7485</v>
      </c>
      <c r="J21" s="11">
        <v>5771</v>
      </c>
      <c r="K21" s="11">
        <v>6572</v>
      </c>
      <c r="L21" s="11">
        <v>4875</v>
      </c>
      <c r="M21" s="12">
        <v>4657</v>
      </c>
      <c r="O21" s="10" t="s">
        <v>36</v>
      </c>
      <c r="P21" s="13">
        <v>-94113</v>
      </c>
      <c r="Q21" s="13">
        <v>-91774</v>
      </c>
      <c r="R21" s="13">
        <v>-86759</v>
      </c>
      <c r="S21" s="13">
        <v>-51356</v>
      </c>
      <c r="T21" s="14">
        <v>-45726</v>
      </c>
    </row>
    <row r="22" spans="1:29">
      <c r="A22" s="10" t="s">
        <v>37</v>
      </c>
      <c r="B22" s="11">
        <v>1639797</v>
      </c>
      <c r="C22" s="11">
        <v>1702794</v>
      </c>
      <c r="D22" s="11">
        <v>1562983</v>
      </c>
      <c r="E22" s="11">
        <v>1342194</v>
      </c>
      <c r="F22" s="12">
        <v>1145712</v>
      </c>
      <c r="H22" s="10" t="s">
        <v>8</v>
      </c>
      <c r="I22" s="11">
        <v>174450</v>
      </c>
      <c r="J22" s="11">
        <v>188768</v>
      </c>
      <c r="K22" s="11">
        <v>171050</v>
      </c>
      <c r="L22" s="11">
        <v>150207</v>
      </c>
      <c r="M22" s="12">
        <v>125776</v>
      </c>
      <c r="O22" s="10" t="s">
        <v>38</v>
      </c>
      <c r="P22" s="11">
        <v>22078</v>
      </c>
      <c r="Q22" s="11">
        <v>19768</v>
      </c>
      <c r="R22" s="11">
        <v>26736</v>
      </c>
      <c r="S22" s="11">
        <v>17167</v>
      </c>
      <c r="T22" s="12">
        <v>26713</v>
      </c>
    </row>
    <row r="23" spans="1:29">
      <c r="H23" s="10" t="s">
        <v>39</v>
      </c>
      <c r="I23" s="11">
        <v>278235</v>
      </c>
      <c r="J23" s="11">
        <v>283691</v>
      </c>
      <c r="K23" s="11">
        <v>304412</v>
      </c>
      <c r="L23" s="11">
        <v>285559</v>
      </c>
      <c r="M23" s="12">
        <v>282803</v>
      </c>
      <c r="O23" s="10" t="s">
        <v>40</v>
      </c>
      <c r="P23" s="11">
        <v>20745</v>
      </c>
      <c r="Q23" s="11">
        <v>22078</v>
      </c>
      <c r="R23" s="11">
        <v>19768</v>
      </c>
      <c r="S23" s="11">
        <v>26736</v>
      </c>
      <c r="T23" s="12">
        <v>17167</v>
      </c>
    </row>
    <row r="24" spans="1:29">
      <c r="H24" s="10" t="s">
        <v>41</v>
      </c>
      <c r="I24" s="11">
        <v>17445</v>
      </c>
      <c r="J24" s="11">
        <v>18877</v>
      </c>
      <c r="K24" s="11">
        <v>17105</v>
      </c>
      <c r="L24" s="11">
        <v>15021</v>
      </c>
      <c r="M24" s="12">
        <v>12578</v>
      </c>
      <c r="O24" s="2" t="s">
        <v>42</v>
      </c>
      <c r="P24" s="12">
        <f>SUM(P11:P17)</f>
        <v>557095</v>
      </c>
      <c r="Q24" s="12">
        <f>SUM(Q11:Q17)</f>
        <v>607426</v>
      </c>
      <c r="R24" s="12">
        <f>SUM(R11:R17)</f>
        <v>448389</v>
      </c>
      <c r="S24" s="12">
        <f>SUM(S11:S17)</f>
        <v>413918</v>
      </c>
      <c r="T24" s="12">
        <f>SUM(T11:T17)</f>
        <v>329903</v>
      </c>
    </row>
    <row r="25" spans="1:29">
      <c r="H25" s="10" t="s">
        <v>43</v>
      </c>
      <c r="I25" s="11">
        <v>76250</v>
      </c>
      <c r="J25" s="11">
        <v>69133</v>
      </c>
      <c r="K25" s="11">
        <v>68625</v>
      </c>
      <c r="L25" s="11">
        <v>51240</v>
      </c>
      <c r="M25" s="12">
        <v>45750</v>
      </c>
      <c r="O25" s="2" t="s">
        <v>44</v>
      </c>
      <c r="P25" s="12">
        <f>P18+P19</f>
        <v>-279891</v>
      </c>
      <c r="Q25" s="12">
        <f>Q18+Q19</f>
        <v>-506833</v>
      </c>
      <c r="R25" s="12">
        <f>R18+R19</f>
        <v>-512075</v>
      </c>
      <c r="S25" s="12">
        <f>S18+S19</f>
        <v>-443422</v>
      </c>
      <c r="T25" s="12">
        <f>T18+T19</f>
        <v>-403064</v>
      </c>
    </row>
    <row r="26" spans="1:29">
      <c r="H26" s="10" t="s">
        <v>45</v>
      </c>
      <c r="I26" s="11">
        <v>106032</v>
      </c>
      <c r="J26" s="11">
        <v>106214</v>
      </c>
      <c r="K26" s="11">
        <v>106042</v>
      </c>
      <c r="L26" s="11">
        <v>65092</v>
      </c>
      <c r="M26" s="12">
        <v>64692</v>
      </c>
      <c r="O26" s="2" t="s">
        <v>46</v>
      </c>
      <c r="P26" s="12">
        <f>P20+P21</f>
        <v>-278537</v>
      </c>
      <c r="Q26" s="12">
        <f>Q20+Q21</f>
        <v>-98283</v>
      </c>
      <c r="R26" s="12">
        <f>R20+R21</f>
        <v>56718</v>
      </c>
      <c r="S26" s="12">
        <f>S20+S21</f>
        <v>39073</v>
      </c>
      <c r="T26" s="12">
        <f>T20+T21</f>
        <v>63615</v>
      </c>
    </row>
    <row r="27" spans="1:29">
      <c r="H27" s="10" t="s">
        <v>47</v>
      </c>
      <c r="I27" s="11">
        <v>252958</v>
      </c>
      <c r="J27" s="11">
        <v>278235</v>
      </c>
      <c r="K27" s="11">
        <v>283690</v>
      </c>
      <c r="L27" s="11">
        <v>304413</v>
      </c>
      <c r="M27" s="12">
        <v>285559</v>
      </c>
      <c r="O27" s="2" t="s">
        <v>123</v>
      </c>
      <c r="P27" s="12">
        <f>P24+P18+P20</f>
        <v>-221834</v>
      </c>
      <c r="Q27" s="12">
        <f>Q24+Q18+Q20</f>
        <v>-180991</v>
      </c>
      <c r="R27" s="12">
        <f>R24+R18+R20</f>
        <v>-172528</v>
      </c>
      <c r="S27" s="12">
        <f>S24+S18+S20</f>
        <v>-130536</v>
      </c>
      <c r="T27" s="12">
        <f>T24+T18+T20</f>
        <v>-132103</v>
      </c>
    </row>
    <row r="28" spans="1:29">
      <c r="O28" s="2" t="s">
        <v>120</v>
      </c>
      <c r="P28" s="12">
        <f>(B11-C11)+(B17-C17)</f>
        <v>45265</v>
      </c>
      <c r="Q28" s="12">
        <f>(C11-D11)+(C17-D17)</f>
        <v>50151</v>
      </c>
      <c r="R28" s="12">
        <f>(D11-E11)+(D17-E17)</f>
        <v>60880</v>
      </c>
      <c r="S28" s="12">
        <f>(E11-F11)+(E17-F17)</f>
        <v>111397</v>
      </c>
      <c r="T28" s="12">
        <f>(F11-G11)+(F17-G17)</f>
        <v>468228</v>
      </c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/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0.13554604624840758</v>
      </c>
      <c r="C30" s="24">
        <f t="shared" si="0"/>
        <v>0.10234943275581192</v>
      </c>
      <c r="D30" s="24">
        <f t="shared" si="0"/>
        <v>0.10729739223011382</v>
      </c>
      <c r="E30" s="24">
        <f t="shared" si="0"/>
        <v>0.11631925042132508</v>
      </c>
      <c r="F30" s="24">
        <f t="shared" si="0"/>
        <v>9.7038348206180958E-2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0.17270772447549124</v>
      </c>
      <c r="Q30" s="26">
        <f t="shared" ref="Q30:Q42" si="3">Q11/J$11</f>
        <v>0.18529501552403305</v>
      </c>
      <c r="R30" s="26">
        <f t="shared" ref="R30:R42" si="4">R11/K$11</f>
        <v>0.19153167336454405</v>
      </c>
      <c r="S30" s="26">
        <f t="shared" ref="S30:S42" si="5">S11/L$11</f>
        <v>0.19253358285479902</v>
      </c>
      <c r="T30" s="26">
        <f t="shared" ref="T30:T42" si="6">T11/M$11</f>
        <v>0.18106593036413002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1.3123575662109396E-3</v>
      </c>
      <c r="C31" s="24">
        <f t="shared" si="0"/>
        <v>2.1394249686104132E-3</v>
      </c>
      <c r="D31" s="24">
        <f t="shared" si="0"/>
        <v>2.7434719379545395E-3</v>
      </c>
      <c r="E31" s="24">
        <f t="shared" si="0"/>
        <v>3.5471772336934898E-3</v>
      </c>
      <c r="F31" s="24">
        <f t="shared" si="0"/>
        <v>3.6955185945508119E-3</v>
      </c>
      <c r="G31" s="6"/>
      <c r="H31" s="25" t="s">
        <v>10</v>
      </c>
      <c r="I31" s="24">
        <f t="shared" si="1"/>
        <v>0.20930948590617848</v>
      </c>
      <c r="J31" s="24">
        <f t="shared" si="1"/>
        <v>0.22815567812490492</v>
      </c>
      <c r="K31" s="24">
        <f t="shared" si="1"/>
        <v>0.23176148763421414</v>
      </c>
      <c r="L31" s="24">
        <f t="shared" si="1"/>
        <v>0.21798092698933552</v>
      </c>
      <c r="M31" s="24">
        <f t="shared" si="1"/>
        <v>0.23112480961416096</v>
      </c>
      <c r="N31" s="6"/>
      <c r="O31" s="25" t="s">
        <v>11</v>
      </c>
      <c r="P31" s="26">
        <f t="shared" si="2"/>
        <v>0.5154729092910717</v>
      </c>
      <c r="Q31" s="26">
        <f t="shared" si="3"/>
        <v>0.4933874392265763</v>
      </c>
      <c r="R31" s="26">
        <f t="shared" si="4"/>
        <v>0.48281039874858495</v>
      </c>
      <c r="S31" s="26">
        <f t="shared" si="5"/>
        <v>0.49171195652173916</v>
      </c>
      <c r="T31" s="26">
        <f t="shared" si="6"/>
        <v>0.47551112659470635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1.094708674305417E-2</v>
      </c>
      <c r="C32" s="24">
        <f t="shared" si="0"/>
        <v>1.5304846035398292E-2</v>
      </c>
      <c r="D32" s="24">
        <f t="shared" si="0"/>
        <v>1.7862638301248318E-2</v>
      </c>
      <c r="E32" s="24">
        <f t="shared" si="0"/>
        <v>0</v>
      </c>
      <c r="F32" s="24">
        <f t="shared" si="0"/>
        <v>2.3706655773876855E-2</v>
      </c>
      <c r="G32" s="6"/>
      <c r="H32" s="25" t="s">
        <v>13</v>
      </c>
      <c r="I32" s="24">
        <f t="shared" si="1"/>
        <v>0.79069051409382152</v>
      </c>
      <c r="J32" s="24">
        <f t="shared" si="1"/>
        <v>0.77184432187509511</v>
      </c>
      <c r="K32" s="24">
        <f t="shared" si="1"/>
        <v>0.76823851236578589</v>
      </c>
      <c r="L32" s="24">
        <f t="shared" si="1"/>
        <v>0.78201907301066453</v>
      </c>
      <c r="M32" s="24">
        <f t="shared" si="1"/>
        <v>0.76887519038583907</v>
      </c>
      <c r="N32" s="6"/>
      <c r="O32" s="25" t="s">
        <v>14</v>
      </c>
      <c r="P32" s="26">
        <f t="shared" si="2"/>
        <v>-4.0355889783860413E-2</v>
      </c>
      <c r="Q32" s="26">
        <f t="shared" si="3"/>
        <v>-1.9090192521568246E-2</v>
      </c>
      <c r="R32" s="26">
        <f t="shared" si="4"/>
        <v>-1.6519440267213397E-2</v>
      </c>
      <c r="S32" s="26">
        <f t="shared" si="5"/>
        <v>-2.0761125922887612E-2</v>
      </c>
      <c r="T32" s="26">
        <f t="shared" si="6"/>
        <v>3.1512635285513978E-2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0.85219450944232733</v>
      </c>
      <c r="C33" s="24">
        <f t="shared" si="0"/>
        <v>0.88020629624017943</v>
      </c>
      <c r="D33" s="24">
        <f t="shared" si="0"/>
        <v>0.8720964975306833</v>
      </c>
      <c r="E33" s="24">
        <f t="shared" si="0"/>
        <v>0.88013357234498146</v>
      </c>
      <c r="F33" s="24">
        <f t="shared" si="0"/>
        <v>0.87555947742539142</v>
      </c>
      <c r="G33" s="6"/>
      <c r="H33" s="25" t="s">
        <v>16</v>
      </c>
      <c r="I33" s="24">
        <f t="shared" si="1"/>
        <v>9.4813521198153037E-3</v>
      </c>
      <c r="J33" s="24">
        <f t="shared" si="1"/>
        <v>3.413029586460962E-3</v>
      </c>
      <c r="K33" s="24">
        <f t="shared" si="1"/>
        <v>3.3054556814758993E-3</v>
      </c>
      <c r="L33" s="24">
        <f t="shared" si="1"/>
        <v>6.2551271534044299E-3</v>
      </c>
      <c r="M33" s="24">
        <f t="shared" si="1"/>
        <v>4.4987202040763447E-3</v>
      </c>
      <c r="N33" s="6"/>
      <c r="O33" s="25" t="s">
        <v>9</v>
      </c>
      <c r="P33" s="26">
        <f t="shared" si="2"/>
        <v>1.4761090122840782E-3</v>
      </c>
      <c r="Q33" s="26">
        <f t="shared" si="3"/>
        <v>6.3215158288204185E-4</v>
      </c>
      <c r="R33" s="26">
        <f t="shared" si="4"/>
        <v>5.2963432836656513E-4</v>
      </c>
      <c r="S33" s="26">
        <f t="shared" si="5"/>
        <v>-6.7293888433141917E-4</v>
      </c>
      <c r="T33" s="26">
        <f t="shared" si="6"/>
        <v>-1.7563003676714049E-4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0</v>
      </c>
      <c r="E34" s="24">
        <f t="shared" si="0"/>
        <v>0</v>
      </c>
      <c r="F34" s="24">
        <f t="shared" si="0"/>
        <v>0</v>
      </c>
      <c r="G34" s="6"/>
      <c r="H34" s="25" t="s">
        <v>18</v>
      </c>
      <c r="I34" s="24">
        <f t="shared" si="1"/>
        <v>0.80017186621363678</v>
      </c>
      <c r="J34" s="24">
        <f t="shared" si="1"/>
        <v>0.77525735146155605</v>
      </c>
      <c r="K34" s="24">
        <f t="shared" si="1"/>
        <v>0.77154396804726177</v>
      </c>
      <c r="L34" s="24">
        <f t="shared" si="1"/>
        <v>0.78827420016406891</v>
      </c>
      <c r="M34" s="24">
        <f t="shared" si="1"/>
        <v>0.77337391058991534</v>
      </c>
      <c r="N34" s="6"/>
      <c r="O34" s="25" t="s">
        <v>19</v>
      </c>
      <c r="P34" s="26">
        <f t="shared" si="2"/>
        <v>-5.685643231084816E-3</v>
      </c>
      <c r="Q34" s="26">
        <f t="shared" si="3"/>
        <v>1.6465389210036291E-2</v>
      </c>
      <c r="R34" s="26">
        <f t="shared" si="4"/>
        <v>-1.5572145041424571E-2</v>
      </c>
      <c r="S34" s="26">
        <f t="shared" si="5"/>
        <v>2.832752255947498E-3</v>
      </c>
      <c r="T34" s="26">
        <f t="shared" si="6"/>
        <v>-1.0580989919987563E-3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8.0649408764384881E-2</v>
      </c>
      <c r="J35" s="24">
        <f t="shared" si="1"/>
        <v>7.4397566412726268E-2</v>
      </c>
      <c r="K35" s="24">
        <f t="shared" si="1"/>
        <v>7.4246222856240676E-2</v>
      </c>
      <c r="L35" s="24">
        <f t="shared" si="1"/>
        <v>8.0760356849876952E-2</v>
      </c>
      <c r="M35" s="24">
        <f t="shared" si="1"/>
        <v>9.6402175509111163E-2</v>
      </c>
      <c r="N35" s="6"/>
      <c r="O35" s="25" t="s">
        <v>22</v>
      </c>
      <c r="P35" s="26">
        <f t="shared" si="2"/>
        <v>2.3876137524651318E-2</v>
      </c>
      <c r="Q35" s="26">
        <f t="shared" si="3"/>
        <v>1.176940602291255E-2</v>
      </c>
      <c r="R35" s="26">
        <f t="shared" si="4"/>
        <v>-2.360847818029738E-2</v>
      </c>
      <c r="S35" s="26">
        <f t="shared" si="5"/>
        <v>5.6975492206726829E-3</v>
      </c>
      <c r="T35" s="26">
        <f t="shared" si="6"/>
        <v>-5.6688193342757855E-2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0.31324182200601658</v>
      </c>
      <c r="C36" s="24">
        <f t="shared" si="0"/>
        <v>0.30325218435113116</v>
      </c>
      <c r="D36" s="24">
        <f t="shared" si="0"/>
        <v>0.30249913146848045</v>
      </c>
      <c r="E36" s="24">
        <f t="shared" si="0"/>
        <v>0.31552964772603664</v>
      </c>
      <c r="F36" s="24">
        <f t="shared" si="0"/>
        <v>0.31164027259904759</v>
      </c>
      <c r="G36" s="6"/>
      <c r="H36" s="25" t="s">
        <v>11</v>
      </c>
      <c r="I36" s="24">
        <f t="shared" si="1"/>
        <v>0.5154729092910717</v>
      </c>
      <c r="J36" s="24">
        <f t="shared" si="1"/>
        <v>0.4933874392265763</v>
      </c>
      <c r="K36" s="24">
        <f t="shared" si="1"/>
        <v>0.4827622501732789</v>
      </c>
      <c r="L36" s="24">
        <f t="shared" si="1"/>
        <v>0.49171195652173916</v>
      </c>
      <c r="M36" s="24">
        <f t="shared" si="1"/>
        <v>0.47551256618517163</v>
      </c>
      <c r="N36" s="6"/>
      <c r="O36" s="25" t="s">
        <v>24</v>
      </c>
      <c r="P36" s="26">
        <f t="shared" si="2"/>
        <v>-0.11596019356729315</v>
      </c>
      <c r="Q36" s="26">
        <f t="shared" si="3"/>
        <v>-9.2208731740978836E-2</v>
      </c>
      <c r="R36" s="26">
        <f t="shared" si="4"/>
        <v>-0.11709509567569808</v>
      </c>
      <c r="S36" s="26">
        <f t="shared" si="5"/>
        <v>-0.14078650533223955</v>
      </c>
      <c r="T36" s="26">
        <f t="shared" si="6"/>
        <v>-0.15524255659749914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7.976963002127703E-2</v>
      </c>
      <c r="C37" s="24">
        <f t="shared" si="0"/>
        <v>0.16732147282642529</v>
      </c>
      <c r="D37" s="24">
        <f t="shared" si="0"/>
        <v>0.19399315283659516</v>
      </c>
      <c r="E37" s="24">
        <f t="shared" si="0"/>
        <v>0.17134780814099898</v>
      </c>
      <c r="F37" s="24">
        <f t="shared" si="0"/>
        <v>0.1703028335218624</v>
      </c>
      <c r="G37" s="6"/>
      <c r="H37" s="25" t="s">
        <v>26</v>
      </c>
      <c r="I37" s="24">
        <f t="shared" si="1"/>
        <v>2.3931578238727713E-2</v>
      </c>
      <c r="J37" s="24">
        <f t="shared" si="1"/>
        <v>1.6512506098201412E-2</v>
      </c>
      <c r="K37" s="24">
        <f t="shared" si="1"/>
        <v>1.5646047505847811E-2</v>
      </c>
      <c r="L37" s="24">
        <f t="shared" si="1"/>
        <v>1.7019585726004923E-2</v>
      </c>
      <c r="M37" s="24">
        <f t="shared" si="1"/>
        <v>1.3689065734579826E-2</v>
      </c>
      <c r="N37" s="6"/>
      <c r="O37" s="25" t="s">
        <v>27</v>
      </c>
      <c r="P37" s="26">
        <f t="shared" si="2"/>
        <v>-0.58856753074979606</v>
      </c>
      <c r="Q37" s="26">
        <f t="shared" si="3"/>
        <v>-0.76752232898778205</v>
      </c>
      <c r="R37" s="26">
        <f t="shared" si="4"/>
        <v>-0.8559181877324149</v>
      </c>
      <c r="S37" s="26">
        <f t="shared" si="5"/>
        <v>-0.81378563371616075</v>
      </c>
      <c r="T37" s="26">
        <f t="shared" si="6"/>
        <v>-0.82250569358029024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24">
        <f t="shared" si="0"/>
        <v>8.2917871157847702E-5</v>
      </c>
      <c r="G38" s="6"/>
      <c r="H38" s="25" t="s">
        <v>29</v>
      </c>
      <c r="I38" s="24">
        <f t="shared" si="1"/>
        <v>0.62005389629418428</v>
      </c>
      <c r="J38" s="24">
        <f t="shared" si="1"/>
        <v>0.58429751173750399</v>
      </c>
      <c r="K38" s="24">
        <f t="shared" si="1"/>
        <v>0.57265452053536736</v>
      </c>
      <c r="L38" s="24">
        <f t="shared" si="1"/>
        <v>0.58949189909762101</v>
      </c>
      <c r="M38" s="24">
        <f t="shared" si="1"/>
        <v>0.58560380742886264</v>
      </c>
      <c r="N38" s="6"/>
      <c r="O38" s="25" t="s">
        <v>30</v>
      </c>
      <c r="P38" s="26">
        <f t="shared" si="2"/>
        <v>0.31147187175770824</v>
      </c>
      <c r="Q38" s="26">
        <f t="shared" si="3"/>
        <v>0.27001412525043117</v>
      </c>
      <c r="R38" s="26">
        <f t="shared" si="4"/>
        <v>0.28253024122436227</v>
      </c>
      <c r="S38" s="26">
        <f t="shared" si="5"/>
        <v>0.24541247949138639</v>
      </c>
      <c r="T38" s="26">
        <f t="shared" si="6"/>
        <v>0.24225860227282542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0.6069885479727064</v>
      </c>
      <c r="C39" s="24">
        <f t="shared" si="0"/>
        <v>0.52942634282244361</v>
      </c>
      <c r="D39" s="24">
        <f t="shared" si="0"/>
        <v>0.50317053992269911</v>
      </c>
      <c r="E39" s="24">
        <f t="shared" si="0"/>
        <v>0.51312254413296443</v>
      </c>
      <c r="F39" s="24">
        <f t="shared" si="0"/>
        <v>0.51797397600793216</v>
      </c>
      <c r="G39" s="6"/>
      <c r="H39" s="25" t="s">
        <v>32</v>
      </c>
      <c r="I39" s="24">
        <f t="shared" si="1"/>
        <v>0.18011796991945256</v>
      </c>
      <c r="J39" s="24">
        <f t="shared" si="1"/>
        <v>0.19095983972405209</v>
      </c>
      <c r="K39" s="24">
        <f t="shared" si="1"/>
        <v>0.19888944751189438</v>
      </c>
      <c r="L39" s="24">
        <f t="shared" si="1"/>
        <v>0.1987823010664479</v>
      </c>
      <c r="M39" s="24">
        <f t="shared" si="1"/>
        <v>0.18777010316105275</v>
      </c>
      <c r="N39" s="6"/>
      <c r="O39" s="25" t="s">
        <v>33</v>
      </c>
      <c r="P39" s="26">
        <f t="shared" si="2"/>
        <v>-0.18258211165759816</v>
      </c>
      <c r="Q39" s="26">
        <f t="shared" si="3"/>
        <v>-6.3892463555577806E-3</v>
      </c>
      <c r="R39" s="26">
        <f t="shared" si="4"/>
        <v>0.16065611951596126</v>
      </c>
      <c r="S39" s="26">
        <f t="shared" si="5"/>
        <v>0.11591083880229697</v>
      </c>
      <c r="T39" s="26">
        <f t="shared" si="6"/>
        <v>0.15740626106685171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24">
        <f t="shared" si="0"/>
        <v>0</v>
      </c>
      <c r="G40" s="6"/>
      <c r="H40" s="25" t="s">
        <v>35</v>
      </c>
      <c r="I40" s="24">
        <f t="shared" ref="I40:M49" si="7">I21/I$11</f>
        <v>7.4102454439613184E-3</v>
      </c>
      <c r="J40" s="24">
        <f t="shared" si="7"/>
        <v>5.6648242000190427E-3</v>
      </c>
      <c r="K40" s="24">
        <f t="shared" si="7"/>
        <v>7.35889388165976E-3</v>
      </c>
      <c r="L40" s="24">
        <f t="shared" si="7"/>
        <v>6.2487182116488923E-3</v>
      </c>
      <c r="M40" s="24">
        <f t="shared" si="7"/>
        <v>6.7041727969227314E-3</v>
      </c>
      <c r="N40" s="6"/>
      <c r="O40" s="25" t="s">
        <v>36</v>
      </c>
      <c r="P40" s="26">
        <f t="shared" si="2"/>
        <v>-9.3173070069142494E-2</v>
      </c>
      <c r="Q40" s="26">
        <f t="shared" si="3"/>
        <v>-9.0085526968038065E-2</v>
      </c>
      <c r="R40" s="26">
        <f t="shared" si="4"/>
        <v>-9.7147028952970033E-2</v>
      </c>
      <c r="S40" s="26">
        <f t="shared" si="5"/>
        <v>-6.582752255947498E-2</v>
      </c>
      <c r="T40" s="26">
        <f t="shared" si="6"/>
        <v>-6.5826713616510379E-2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0.17270772447549124</v>
      </c>
      <c r="J41" s="24">
        <f t="shared" si="7"/>
        <v>0.18529501552403305</v>
      </c>
      <c r="K41" s="24">
        <f t="shared" si="7"/>
        <v>0.19153055363023461</v>
      </c>
      <c r="L41" s="24">
        <f t="shared" si="7"/>
        <v>0.19253358285479902</v>
      </c>
      <c r="M41" s="24">
        <f t="shared" si="7"/>
        <v>0.18106593036413002</v>
      </c>
      <c r="N41" s="6"/>
      <c r="O41" s="25" t="s">
        <v>38</v>
      </c>
      <c r="P41" s="26">
        <f t="shared" si="2"/>
        <v>2.1857501524619637E-2</v>
      </c>
      <c r="Q41" s="26">
        <f t="shared" si="3"/>
        <v>1.9404305109335721E-2</v>
      </c>
      <c r="R41" s="26">
        <f t="shared" si="4"/>
        <v>2.9937216497269527E-2</v>
      </c>
      <c r="S41" s="26">
        <f t="shared" si="5"/>
        <v>2.2004460623461855E-2</v>
      </c>
      <c r="T41" s="26">
        <f t="shared" si="6"/>
        <v>3.8455780099677241E-2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0.27545619787582865</v>
      </c>
      <c r="J42" s="24">
        <f t="shared" si="7"/>
        <v>0.2784716066760704</v>
      </c>
      <c r="K42" s="24">
        <f t="shared" si="7"/>
        <v>0.34086056060617936</v>
      </c>
      <c r="L42" s="24">
        <f t="shared" si="7"/>
        <v>0.36602619975389666</v>
      </c>
      <c r="M42" s="24">
        <f t="shared" si="7"/>
        <v>0.40712050235948877</v>
      </c>
      <c r="N42" s="6"/>
      <c r="O42" s="25" t="s">
        <v>40</v>
      </c>
      <c r="P42" s="26">
        <f t="shared" si="2"/>
        <v>2.0537814527051109E-2</v>
      </c>
      <c r="Q42" s="26">
        <f t="shared" si="3"/>
        <v>2.1671805352282175E-2</v>
      </c>
      <c r="R42" s="26">
        <f t="shared" si="4"/>
        <v>2.2134907829070318E-2</v>
      </c>
      <c r="S42" s="26">
        <f t="shared" si="5"/>
        <v>3.4269893355209191E-2</v>
      </c>
      <c r="T42" s="26">
        <f t="shared" si="6"/>
        <v>2.4713449517881153E-2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1.7270772447549123E-2</v>
      </c>
      <c r="J43" s="24">
        <f t="shared" si="7"/>
        <v>1.8529697872770659E-2</v>
      </c>
      <c r="K43" s="24">
        <f t="shared" si="7"/>
        <v>1.9153055363023461E-2</v>
      </c>
      <c r="L43" s="24">
        <f t="shared" si="7"/>
        <v>1.9253742821985234E-2</v>
      </c>
      <c r="M43" s="24">
        <f t="shared" si="7"/>
        <v>1.8107168872599121E-2</v>
      </c>
      <c r="N43" s="6"/>
      <c r="O43" s="2" t="s">
        <v>49</v>
      </c>
      <c r="P43" s="26">
        <f>P24/I11</f>
        <v>0.55153115372125994</v>
      </c>
      <c r="Q43" s="26">
        <f>Q24/J11</f>
        <v>0.59625047730389313</v>
      </c>
      <c r="R43" s="26">
        <f>R24/K11</f>
        <v>0.50207654727686213</v>
      </c>
      <c r="S43" s="26">
        <f>S24/L11</f>
        <v>0.53055527071369979</v>
      </c>
      <c r="T43" s="26">
        <f>T24/M11</f>
        <v>0.47492521327532744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7.5488472291523112E-2</v>
      </c>
      <c r="J44" s="24">
        <f t="shared" si="7"/>
        <v>6.7861079781652484E-2</v>
      </c>
      <c r="K44" s="24">
        <f t="shared" si="7"/>
        <v>7.6841766985529678E-2</v>
      </c>
      <c r="L44" s="24">
        <f t="shared" si="7"/>
        <v>6.5678835110746514E-2</v>
      </c>
      <c r="M44" s="24">
        <f t="shared" si="7"/>
        <v>6.5861263787677676E-2</v>
      </c>
      <c r="N44" s="6"/>
      <c r="O44" s="2" t="s">
        <v>50</v>
      </c>
      <c r="P44" s="26">
        <f>P24/B16</f>
        <v>0.33973412562652572</v>
      </c>
      <c r="Q44" s="26">
        <f>Q24/C16</f>
        <v>0.35672312681393054</v>
      </c>
      <c r="R44" s="26">
        <f>R24/D16</f>
        <v>0.28688027956797996</v>
      </c>
      <c r="S44" s="26">
        <f>S24/E16</f>
        <v>0.30838910023439237</v>
      </c>
      <c r="T44" s="26">
        <f>T24/F16</f>
        <v>0.2879458363009203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0.10497303205265283</v>
      </c>
      <c r="J45" s="24">
        <f t="shared" si="7"/>
        <v>0.10425985749104534</v>
      </c>
      <c r="K45" s="24">
        <f t="shared" si="7"/>
        <v>0.11873886564196047</v>
      </c>
      <c r="L45" s="24">
        <f t="shared" si="7"/>
        <v>8.3434167350287122E-2</v>
      </c>
      <c r="M45" s="24">
        <f t="shared" si="7"/>
        <v>9.3129986381474197E-2</v>
      </c>
      <c r="N45" s="6"/>
      <c r="O45" s="2" t="s">
        <v>51</v>
      </c>
      <c r="P45" s="26">
        <f>P24/B20</f>
        <v>0.55970434164072913</v>
      </c>
      <c r="Q45" s="26">
        <f>Q24/C20</f>
        <v>0.67379179681953716</v>
      </c>
      <c r="R45" s="26">
        <f>R24/D20</f>
        <v>0.57014522275499813</v>
      </c>
      <c r="S45" s="26">
        <f>S24/E20</f>
        <v>0.60100477704694288</v>
      </c>
      <c r="T45" s="26">
        <f>T24/F20</f>
        <v>0.55590792132095601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0.2504316455595948</v>
      </c>
      <c r="J46" s="24">
        <f t="shared" si="7"/>
        <v>0.27311598705463497</v>
      </c>
      <c r="K46" s="24">
        <f t="shared" si="7"/>
        <v>0.31765742624590038</v>
      </c>
      <c r="L46" s="24">
        <f t="shared" si="7"/>
        <v>0.39019303732567678</v>
      </c>
      <c r="M46" s="24">
        <f t="shared" si="7"/>
        <v>0.41108801368186776</v>
      </c>
      <c r="N46" s="6"/>
      <c r="O46" s="2" t="s">
        <v>52</v>
      </c>
      <c r="P46" s="26">
        <f>P24/I22</f>
        <v>3.1934365147606765</v>
      </c>
      <c r="Q46" s="26">
        <f>Q24/J22</f>
        <v>3.2178441261230719</v>
      </c>
      <c r="R46" s="26">
        <f>R24/K22</f>
        <v>2.621391406021631</v>
      </c>
      <c r="S46" s="26">
        <f>S24/L22</f>
        <v>2.7556505355942131</v>
      </c>
      <c r="T46" s="26">
        <f>T24/M22</f>
        <v>2.622940783615316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0.86443823423988186</v>
      </c>
      <c r="Q47" s="26">
        <f>Q24/(C22-C20)</f>
        <v>0.75806012804352985</v>
      </c>
      <c r="R47" s="26">
        <f>R24/(D22-D20)</f>
        <v>0.57742203838585715</v>
      </c>
      <c r="S47" s="26">
        <f>S24/(E22-E20)</f>
        <v>0.63340188895213956</v>
      </c>
      <c r="T47" s="26">
        <f>T24/(F22-F20)</f>
        <v>0.59736574784115537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>
        <f>P24/I25</f>
        <v>7.3061639344262295</v>
      </c>
      <c r="Q48" s="26">
        <f>Q24/J25</f>
        <v>8.7863393748282288</v>
      </c>
      <c r="R48" s="26">
        <f>R24/K25</f>
        <v>6.5339016393442622</v>
      </c>
      <c r="S48" s="26">
        <f>S24/L25</f>
        <v>8.0780249804839972</v>
      </c>
      <c r="T48" s="26">
        <f>T24/M25</f>
        <v>7.2109945355191254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0.93707369996888168</v>
      </c>
      <c r="Q49" s="26">
        <f>Q24/(Q18*-1)</f>
        <v>0.7768509850263714</v>
      </c>
      <c r="R49" s="26">
        <f>R24/(R18*-1)</f>
        <v>0.58659408629581078</v>
      </c>
      <c r="S49" s="26">
        <f>S24/(S18*-1)</f>
        <v>0.65195949489906013</v>
      </c>
      <c r="T49" s="26">
        <f>T24/(T18*-1)</f>
        <v>0.57741267565945043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1.5591699458385984E-2</v>
      </c>
      <c r="J50" s="28">
        <f>LN(J13/K13)</f>
        <v>0.13634357401522076</v>
      </c>
      <c r="K50" s="28">
        <f>LN(K13/L13)</f>
        <v>0.11738593629800005</v>
      </c>
      <c r="L50" s="28">
        <f>LN(L13/M13)</f>
        <v>0.13305289705786377</v>
      </c>
      <c r="O50" s="2" t="s">
        <v>121</v>
      </c>
      <c r="P50" s="32">
        <f ca="1">(J15-J16-P28-P25)/($B$6)</f>
        <v>5.4319941262253831E-4</v>
      </c>
      <c r="Q50" s="32">
        <f ca="1">(K15-K16-Q28-Q25)/($B$6)</f>
        <v>6.1809517423671646E-4</v>
      </c>
      <c r="R50" s="32">
        <f ca="1">(L15-L16-R28-R25)/($B$6)</f>
        <v>5.7443408603336118E-4</v>
      </c>
    </row>
    <row r="51" spans="1:29">
      <c r="A51" s="29" t="s">
        <v>57</v>
      </c>
      <c r="B51" s="30">
        <f>B11/B17</f>
        <v>0.43272014375463591</v>
      </c>
      <c r="C51" s="30">
        <f>C11/C17</f>
        <v>0.3375060033773839</v>
      </c>
      <c r="D51" s="30">
        <f>D11/D17</f>
        <v>0.3547031414908175</v>
      </c>
      <c r="E51" s="30">
        <f>E11/E17</f>
        <v>0.3686476096925162</v>
      </c>
      <c r="F51" s="30">
        <f>F11/F17</f>
        <v>0.31137935863324462</v>
      </c>
      <c r="H51" s="29" t="s">
        <v>58</v>
      </c>
      <c r="I51" s="31">
        <f>I13/I11</f>
        <v>0.79069051409382152</v>
      </c>
      <c r="J51" s="31">
        <f>J13/J11</f>
        <v>0.77184432187509511</v>
      </c>
      <c r="K51" s="31">
        <f>K13/K11</f>
        <v>0.76823851236578589</v>
      </c>
      <c r="L51" s="31">
        <f>L13/L11</f>
        <v>0.78201907301066453</v>
      </c>
      <c r="M51" s="31">
        <f>M13/M11</f>
        <v>0.76887519038583907</v>
      </c>
      <c r="O51" s="2" t="s">
        <v>59</v>
      </c>
      <c r="P51" s="32">
        <f>(P11-P24-P25)/B16</f>
        <v>-6.2662634460241118E-2</v>
      </c>
      <c r="Q51" s="32">
        <f>(Q11-Q24-Q25)/C16</f>
        <v>5.1782540929789511E-2</v>
      </c>
      <c r="R51" s="32">
        <f>(R11-R24-R25)/D16</f>
        <v>0.15018525473405661</v>
      </c>
      <c r="S51" s="32">
        <f>(S11-S24-S25)/E16</f>
        <v>0.13389346100489199</v>
      </c>
      <c r="T51" s="32">
        <f>(T11-T24-T25)/F16</f>
        <v>0.17363613194240787</v>
      </c>
    </row>
    <row r="52" spans="1:29">
      <c r="A52" s="29" t="s">
        <v>60</v>
      </c>
      <c r="B52" s="31">
        <f>I20/B16</f>
        <v>0.11094970901886027</v>
      </c>
      <c r="C52" s="31">
        <f>J20/C16</f>
        <v>0.1142469376800717</v>
      </c>
      <c r="D52" s="31">
        <f>K20/D16</f>
        <v>0.11364295069108238</v>
      </c>
      <c r="E52" s="31">
        <f>L20/E16</f>
        <v>0.11554365464306948</v>
      </c>
      <c r="F52" s="31">
        <f>M20/F16</f>
        <v>0.11384449146033208</v>
      </c>
      <c r="G52" s="31"/>
      <c r="H52" s="29" t="s">
        <v>61</v>
      </c>
      <c r="I52" s="31">
        <f>I16/I11</f>
        <v>8.0649408764384881E-2</v>
      </c>
      <c r="J52" s="31">
        <f>J16/J11</f>
        <v>7.4397566412726268E-2</v>
      </c>
      <c r="K52" s="31">
        <f>K16/K11</f>
        <v>7.4246222856240676E-2</v>
      </c>
      <c r="L52" s="31">
        <f>L16/L11</f>
        <v>8.0760356849876952E-2</v>
      </c>
      <c r="M52" s="31">
        <f>M16/M11</f>
        <v>9.6402175509111163E-2</v>
      </c>
    </row>
    <row r="53" spans="1:29">
      <c r="A53" s="29" t="s">
        <v>62</v>
      </c>
      <c r="B53" s="31">
        <f>I20/B20</f>
        <v>0.18278715371059881</v>
      </c>
      <c r="C53" s="31">
        <f>J20/C20</f>
        <v>0.21579382897912822</v>
      </c>
      <c r="D53" s="31">
        <f>K20/D20</f>
        <v>0.22585374475330189</v>
      </c>
      <c r="E53" s="31">
        <f>L20/E20</f>
        <v>0.22517750577166007</v>
      </c>
      <c r="F53" s="31">
        <f>M20/F20</f>
        <v>0.21978805255379991</v>
      </c>
      <c r="H53" s="29" t="s">
        <v>11</v>
      </c>
      <c r="I53" s="31">
        <f>I17/I11</f>
        <v>0.5154729092910717</v>
      </c>
      <c r="J53" s="31">
        <f>J17/J11</f>
        <v>0.4933874392265763</v>
      </c>
      <c r="K53" s="31">
        <f>K17/K11</f>
        <v>0.4827622501732789</v>
      </c>
      <c r="L53" s="31">
        <f>L17/L11</f>
        <v>0.49171195652173916</v>
      </c>
      <c r="M53" s="31">
        <f>M17/M11</f>
        <v>0.47551256618517163</v>
      </c>
    </row>
    <row r="54" spans="1:29">
      <c r="A54" s="29" t="s">
        <v>63</v>
      </c>
      <c r="B54" s="30">
        <f>I11/B12</f>
        <v>469.37174721189592</v>
      </c>
      <c r="C54" s="30">
        <f>J11/C12</f>
        <v>279.64397474608836</v>
      </c>
      <c r="D54" s="30">
        <f>K11/D12</f>
        <v>208.27168843283582</v>
      </c>
      <c r="E54" s="30">
        <f>L11/E12</f>
        <v>163.8647342995169</v>
      </c>
      <c r="F54" s="30">
        <f>M11/F12</f>
        <v>164.06282475200757</v>
      </c>
      <c r="H54" s="29" t="s">
        <v>64</v>
      </c>
      <c r="I54" s="31">
        <f>I25/I22</f>
        <v>0.43708799082831756</v>
      </c>
      <c r="J54" s="31">
        <f>J25/J22</f>
        <v>0.36623262417358876</v>
      </c>
      <c r="K54" s="31">
        <f>K25/K22</f>
        <v>0.40119847997661501</v>
      </c>
      <c r="L54" s="31">
        <f>L25/L22</f>
        <v>0.3411292416465278</v>
      </c>
      <c r="M54" s="31">
        <f>M25/M22</f>
        <v>0.36374189034473986</v>
      </c>
    </row>
    <row r="55" spans="1:29">
      <c r="A55" s="29" t="s">
        <v>65</v>
      </c>
      <c r="B55" s="31">
        <f>(B22-B20)/B16</f>
        <v>0.3930114520272936</v>
      </c>
      <c r="C55" s="31">
        <f>(C22-C20)/C16</f>
        <v>0.47057365717755639</v>
      </c>
      <c r="D55" s="31">
        <f>(D22-D20)/D16</f>
        <v>0.49682946007730089</v>
      </c>
      <c r="E55" s="31">
        <f>(E22-E20)/E16</f>
        <v>0.48687745586703562</v>
      </c>
      <c r="F55" s="31">
        <f>(F22-F20)/F16</f>
        <v>0.48202602399206779</v>
      </c>
      <c r="H55" s="29" t="s">
        <v>66</v>
      </c>
      <c r="I55" s="31">
        <f>I22/I11</f>
        <v>0.17270772447549124</v>
      </c>
      <c r="J55" s="31">
        <f>J22/J11</f>
        <v>0.18529501552403305</v>
      </c>
      <c r="K55" s="31">
        <f>K22/K11</f>
        <v>0.19153055363023461</v>
      </c>
      <c r="L55" s="31">
        <f>L22/L11</f>
        <v>0.19253358285479902</v>
      </c>
      <c r="M55" s="31">
        <f>M22/M11</f>
        <v>0.18106593036413002</v>
      </c>
      <c r="N55" s="31"/>
    </row>
    <row r="56" spans="1:29">
      <c r="A56" s="29" t="s">
        <v>67</v>
      </c>
      <c r="B56" s="31">
        <f>(B22-B20)/B20</f>
        <v>0.64747754029284521</v>
      </c>
      <c r="C56" s="31">
        <f>(C22-C20)/C20</f>
        <v>0.88883687704103365</v>
      </c>
      <c r="D56" s="31">
        <f>(D22-D20)/D20</f>
        <v>0.98739775216893189</v>
      </c>
      <c r="E56" s="31">
        <f>(E22-E20)/E20</f>
        <v>0.94885220194276254</v>
      </c>
      <c r="F56" s="31">
        <f>(F22-F20)/F20</f>
        <v>0.93059892256958898</v>
      </c>
      <c r="H56" s="33" t="s">
        <v>68</v>
      </c>
      <c r="I56" s="34">
        <f>I13/B16</f>
        <v>0.48705236074953179</v>
      </c>
      <c r="J56" s="34">
        <f>J13/C16</f>
        <v>0.46177693837305039</v>
      </c>
      <c r="K56" s="34">
        <f>K13/D16</f>
        <v>0.43896190809496971</v>
      </c>
      <c r="L56" s="34">
        <f>L13/E16</f>
        <v>0.45455425966738044</v>
      </c>
      <c r="M56" s="34">
        <f>M13/F16</f>
        <v>0.46616689010850892</v>
      </c>
    </row>
    <row r="57" spans="1:29">
      <c r="A57" s="29" t="s">
        <v>69</v>
      </c>
      <c r="B57" s="30">
        <f>I11/B16</f>
        <v>0.61598356381918007</v>
      </c>
      <c r="C57" s="30">
        <f>J11/C16</f>
        <v>0.59827730189324135</v>
      </c>
      <c r="D57" s="30">
        <f>K11/D16</f>
        <v>0.57138753268589615</v>
      </c>
      <c r="E57" s="30">
        <f>L11/E16</f>
        <v>0.58125725491247915</v>
      </c>
      <c r="F57" s="30">
        <f>M11/F16</f>
        <v>0.60629721954557514</v>
      </c>
      <c r="H57" s="33" t="s">
        <v>70</v>
      </c>
      <c r="I57" s="35">
        <f ca="1">I25/$C$5</f>
        <v>4.3677833013990613E-2</v>
      </c>
      <c r="J57" s="35">
        <f ca="1">J25/$C$5</f>
        <v>3.9601044324671646E-2</v>
      </c>
      <c r="K57" s="35">
        <f ca="1">K25/$C$5</f>
        <v>3.9310049712591555E-2</v>
      </c>
      <c r="L57" s="35">
        <f ca="1">L25/$C$5</f>
        <v>2.9351503785401693E-2</v>
      </c>
      <c r="M57" s="35">
        <f ca="1">M25/$C$5</f>
        <v>2.6206699808394369E-2</v>
      </c>
    </row>
    <row r="58" spans="1:29">
      <c r="A58" s="29" t="s">
        <v>71</v>
      </c>
      <c r="B58" s="30">
        <f>B16/B20</f>
        <v>1.6474775402928452</v>
      </c>
      <c r="C58" s="30">
        <f>C16/C20</f>
        <v>1.8888368770410338</v>
      </c>
      <c r="D58" s="30">
        <f>D16/D20</f>
        <v>1.9873977521689319</v>
      </c>
      <c r="E58" s="30">
        <f>E16/E20</f>
        <v>1.9488522019427625</v>
      </c>
      <c r="F58" s="30">
        <f>F16/F20</f>
        <v>1.930598922569589</v>
      </c>
      <c r="H58" s="36" t="s">
        <v>72</v>
      </c>
      <c r="I58" s="37">
        <f ca="1">I22/$C$7/1000</f>
        <v>2.4502628937552804</v>
      </c>
      <c r="J58" s="37">
        <f ca="1">J22/$C$7/1000</f>
        <v>2.6513684490019878</v>
      </c>
      <c r="K58" s="37">
        <f ca="1">K22/$C$7/1000</f>
        <v>2.4025076983481841</v>
      </c>
      <c r="L58" s="37">
        <f ca="1">L22/$C$7/1000</f>
        <v>2.1097543048569753</v>
      </c>
      <c r="M58" s="37">
        <f ca="1">M22/$C$7/1000</f>
        <v>1.7666051345655727</v>
      </c>
    </row>
    <row r="59" spans="1:29">
      <c r="H59" s="36" t="s">
        <v>73</v>
      </c>
      <c r="I59" s="37">
        <f ca="1">B20/$C$7/1000</f>
        <v>13.980164907678953</v>
      </c>
      <c r="J59" s="37">
        <f ca="1">C20/$C$7/1000</f>
        <v>12.662205788317342</v>
      </c>
      <c r="K59" s="37">
        <f ca="1">D20/$C$7/1000</f>
        <v>11.046155930095495</v>
      </c>
      <c r="L59" s="37">
        <f ca="1">E20/$C$7/1000</f>
        <v>9.6733766555356802</v>
      </c>
      <c r="M59" s="37">
        <f ca="1">F20/$C$7/1000</f>
        <v>8.3353743997487957</v>
      </c>
    </row>
    <row r="60" spans="1:29">
      <c r="H60" s="33" t="s">
        <v>74</v>
      </c>
      <c r="I60" s="38">
        <f ca="1">SQRT(22.5*I58*I59)</f>
        <v>27.762191641546828</v>
      </c>
      <c r="J60" s="38">
        <f ca="1">SQRT(22.5*J58*J59)</f>
        <v>27.484066124630946</v>
      </c>
      <c r="K60" s="38">
        <f ca="1">SQRT(22.5*K58*K59)</f>
        <v>24.435950561257066</v>
      </c>
      <c r="L60" s="38">
        <f ca="1">SQRT(22.5*L58*L59)</f>
        <v>21.428720935561831</v>
      </c>
      <c r="M60" s="38">
        <f ca="1">SQRT(22.5*M58*M59)</f>
        <v>18.20218647018153</v>
      </c>
    </row>
    <row r="61" spans="1:29">
      <c r="H61" s="33" t="s">
        <v>75</v>
      </c>
      <c r="I61" s="39">
        <f ca="1">I58-(B20*0.08/1000/$C$7)</f>
        <v>1.331849701140964</v>
      </c>
      <c r="J61" s="39">
        <f ca="1">J58-(C20*0.08/1000/$C$7)</f>
        <v>1.6383919859366003</v>
      </c>
      <c r="K61" s="39">
        <f ca="1">K58-(D20*0.08/1000/$C$7)</f>
        <v>1.5188152239405446</v>
      </c>
      <c r="L61" s="39">
        <f ca="1">L58-(E20*0.08/1000/$C$7)</f>
        <v>1.3358841724141211</v>
      </c>
      <c r="M61" s="39">
        <f ca="1">M58-(F20*0.08/1000/$C$7)</f>
        <v>1.099775182585669</v>
      </c>
    </row>
    <row r="62" spans="1:29">
      <c r="H62" s="2" t="s">
        <v>76</v>
      </c>
      <c r="I62" s="69">
        <v>1.25</v>
      </c>
      <c r="J62" s="69">
        <v>1.25</v>
      </c>
      <c r="K62" s="69">
        <v>1.1299999999999999</v>
      </c>
      <c r="L62" s="69">
        <v>1.1200000000000001</v>
      </c>
      <c r="M62" s="69">
        <v>0.84</v>
      </c>
    </row>
    <row r="63" spans="1:29">
      <c r="A63" s="2"/>
      <c r="I63" s="82"/>
      <c r="J63" s="82"/>
      <c r="K63" s="82"/>
      <c r="L63" s="82"/>
    </row>
    <row r="64" spans="1:29">
      <c r="H64" s="2" t="s">
        <v>105</v>
      </c>
      <c r="I64" s="6"/>
      <c r="J64" s="6">
        <f>K51/J51</f>
        <v>0.99532832022324225</v>
      </c>
      <c r="K64" s="6">
        <f>L51/K51</f>
        <v>1.0179378675021662</v>
      </c>
      <c r="L64" s="6">
        <f>M51/L51</f>
        <v>0.98319237589151964</v>
      </c>
    </row>
    <row r="65" spans="8:13">
      <c r="H65" s="2" t="s">
        <v>106</v>
      </c>
      <c r="I65" s="6"/>
      <c r="J65" s="6">
        <f>J11/K11</f>
        <v>1.1407214896049465</v>
      </c>
      <c r="K65" s="6">
        <f>K11/L11</f>
        <v>1.1447254409351928</v>
      </c>
      <c r="L65" s="6">
        <f>L11/M11</f>
        <v>1.1231108974119042</v>
      </c>
    </row>
    <row r="66" spans="8:13">
      <c r="H66" s="2" t="s">
        <v>107</v>
      </c>
      <c r="I66" s="6"/>
      <c r="J66" s="6">
        <f>(Q13/1948687)/(R13/1747778)</f>
        <v>1.1823302029715668</v>
      </c>
      <c r="K66" s="6">
        <f>(R13/1948687)/(S13/1747778)</f>
        <v>0.81693958555869184</v>
      </c>
      <c r="L66" s="6">
        <f>(S13/1948687)/(T13/1747778)</f>
        <v>-0.66364068222518247</v>
      </c>
    </row>
    <row r="67" spans="8:13">
      <c r="H67" s="2" t="s">
        <v>108</v>
      </c>
      <c r="I67" s="6"/>
      <c r="J67" s="6">
        <f>J52/K52</f>
        <v>1.0020384007517613</v>
      </c>
      <c r="K67" s="6">
        <f>K52/L52</f>
        <v>0.91933995529830048</v>
      </c>
      <c r="L67" s="6">
        <f>L52/M52</f>
        <v>0.83774413205274734</v>
      </c>
    </row>
    <row r="68" spans="8:13">
      <c r="H68" s="2" t="s">
        <v>109</v>
      </c>
      <c r="I68" s="2"/>
      <c r="J68" s="2">
        <v>0</v>
      </c>
      <c r="K68" s="2">
        <v>0</v>
      </c>
      <c r="L68" s="2">
        <v>0</v>
      </c>
    </row>
    <row r="69" spans="8:13">
      <c r="H69" s="2" t="s">
        <v>110</v>
      </c>
      <c r="I69" s="6"/>
      <c r="J69" s="6">
        <f>C58/D58</f>
        <v>0.95040707124664181</v>
      </c>
      <c r="K69" s="6">
        <f>D58/E58</f>
        <v>1.0197785907970569</v>
      </c>
      <c r="L69" s="6">
        <f>E58/F58</f>
        <v>1.0094547236921063</v>
      </c>
    </row>
    <row r="70" spans="8:13">
      <c r="H70" s="2" t="s">
        <v>111</v>
      </c>
      <c r="I70" s="6"/>
      <c r="J70" s="6">
        <f>((1-C11)/C16)/((1-D11)/D16)</f>
        <v>0.95388577165463284</v>
      </c>
      <c r="K70" s="6">
        <f>((1-D11)/D16)/((1-E11)/E16)</f>
        <v>0.9224392291169643</v>
      </c>
      <c r="L70" s="6">
        <f>((1-E11)/E16)/((1-F11)/F16)</f>
        <v>1.1986967396798913</v>
      </c>
    </row>
    <row r="71" spans="8:13">
      <c r="H71" s="2" t="s">
        <v>112</v>
      </c>
      <c r="I71" s="6"/>
      <c r="J71" s="6">
        <f>((J13-J16-J17)-Q24)/C16</f>
        <v>-0.23463906967020084</v>
      </c>
      <c r="K71" s="6">
        <f>((K13-K16-K17)-R24)/D16</f>
        <v>-0.16618606856248597</v>
      </c>
      <c r="L71" s="6">
        <f>((L13-L16-L17)-S24)/E16</f>
        <v>-0.186588525950794</v>
      </c>
      <c r="M71" s="6">
        <f>((M13-M16-M17)-T24)/F16</f>
        <v>-0.16852926389878084</v>
      </c>
    </row>
    <row r="72" spans="8:13">
      <c r="H72" s="2" t="s">
        <v>113</v>
      </c>
      <c r="I72" s="6"/>
      <c r="J72" s="6">
        <f>-4.84 + 0.92 *J66  + 0.528 *J64 + 0.404 *J70 + 0.892 *J65 + 0.115 *J68 - 0.172 *J67- 0.327 *J69 + 4.697 *J71</f>
        <v>-3.4090628671800909</v>
      </c>
      <c r="K72" s="6">
        <f>-4.84 + 0.92 *K66  + 0.528 *K64 + 0.404 *K70 + 0.892 *K65 + 0.115 *K68 - 0.172 *K67- 0.327 *K69 + 4.697 *K71</f>
        <v>-3.4293538809073558</v>
      </c>
      <c r="L72" s="6">
        <f>-4.84 + 0.92 *L66  + 0.528 *L64 + 0.404 *L70 + 0.892 *L65 + 0.115 *L68 - 0.172 *L67- 0.327 *L69 + 4.697 *L71</f>
        <v>-4.7959254416056218</v>
      </c>
    </row>
    <row r="73" spans="8:13">
      <c r="I73" s="6"/>
      <c r="J73" s="6" t="str">
        <f>IF(J72&gt;-2.22,"CARE","Good")</f>
        <v>Good</v>
      </c>
      <c r="K73" s="6" t="str">
        <f>IF(K72&gt;-2.22,"CARE","Good")</f>
        <v>Good</v>
      </c>
      <c r="L73" s="6" t="str">
        <f>IF(L72&gt;-2.22,"CARE","Good")</f>
        <v>Good</v>
      </c>
    </row>
    <row r="74" spans="8:13">
      <c r="H74" s="2" t="s">
        <v>86</v>
      </c>
      <c r="I74" s="6"/>
      <c r="J74" s="6">
        <f ca="1">J59*$C$7/$C$5</f>
        <v>5.1640316293042091E-4</v>
      </c>
      <c r="K74" s="6">
        <f ca="1">K59*$C$7/$C$5</f>
        <v>4.5049574741447707E-4</v>
      </c>
      <c r="L74" s="6">
        <f ca="1">L59*$C$7/$C$5</f>
        <v>3.9450964426315381E-4</v>
      </c>
      <c r="M74" s="6">
        <f ca="1">M59*$C$7/$C$5</f>
        <v>3.3994185343370117E-4</v>
      </c>
    </row>
    <row r="75" spans="8:13">
      <c r="H75" s="2" t="s">
        <v>87</v>
      </c>
    </row>
    <row r="76" spans="8:13">
      <c r="H76" s="2" t="s">
        <v>88</v>
      </c>
    </row>
    <row r="77" spans="8:13">
      <c r="H77" s="2" t="s">
        <v>89</v>
      </c>
      <c r="I77" s="28"/>
      <c r="J77" s="28">
        <f ca="1">(J15-J16)/$C$6</f>
        <v>4.0881159931107231E-4</v>
      </c>
      <c r="K77" s="28">
        <f ca="1">(K15-K16)/$C$6</f>
        <v>3.5655842791413483E-4</v>
      </c>
      <c r="L77" s="28">
        <f ca="1">(L15-L16)/$C$6</f>
        <v>3.1604291020976286E-4</v>
      </c>
      <c r="M77" s="28">
        <f ca="1">(M15-M16)/$C$6</f>
        <v>2.6925204204341437E-4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12" width="15.140625"/>
    <col min="13" max="13" width="23.140625"/>
    <col min="14" max="26" width="15.140625"/>
    <col min="27" max="1025" width="14.42578125"/>
  </cols>
  <sheetData>
    <row r="1" spans="1:17">
      <c r="A1" s="2"/>
      <c r="M1" s="6"/>
    </row>
    <row r="2" spans="1:17">
      <c r="A2" s="2"/>
      <c r="M2" s="6"/>
    </row>
    <row r="3" spans="1:17">
      <c r="A3" s="2"/>
      <c r="M3" s="6"/>
    </row>
    <row r="4" spans="1:17">
      <c r="A4" s="2"/>
      <c r="M4" s="6"/>
    </row>
    <row r="5" spans="1:17">
      <c r="A5" s="2" t="s">
        <v>0</v>
      </c>
      <c r="B5" s="68">
        <v>1649.5</v>
      </c>
      <c r="M5" s="6"/>
    </row>
    <row r="6" spans="1:17">
      <c r="A6" s="2" t="s">
        <v>1</v>
      </c>
      <c r="B6" s="4">
        <f>B5*1000+(B22-B20)-N23</f>
        <v>2825494</v>
      </c>
      <c r="M6" s="6"/>
    </row>
    <row r="7" spans="1:17">
      <c r="A7" s="2" t="s">
        <v>2</v>
      </c>
      <c r="B7" s="62">
        <v>50</v>
      </c>
      <c r="M7" s="6"/>
    </row>
    <row r="8" spans="1:17">
      <c r="M8" s="6"/>
    </row>
    <row r="9" spans="1:17"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525780</v>
      </c>
      <c r="C11" s="56">
        <v>362816</v>
      </c>
      <c r="D11" s="56">
        <v>312760</v>
      </c>
      <c r="E11" s="56">
        <v>295198</v>
      </c>
      <c r="G11" s="25" t="s">
        <v>7</v>
      </c>
      <c r="H11" s="56">
        <v>1657975</v>
      </c>
      <c r="I11" s="56">
        <v>1621351</v>
      </c>
      <c r="J11" s="56">
        <v>1600550</v>
      </c>
      <c r="K11" s="56">
        <v>1447363</v>
      </c>
      <c r="M11" s="25" t="s">
        <v>8</v>
      </c>
      <c r="N11" s="56">
        <v>283817</v>
      </c>
      <c r="O11" s="56">
        <v>310222</v>
      </c>
      <c r="P11" s="56">
        <v>309443</v>
      </c>
      <c r="Q11" s="56">
        <v>256169</v>
      </c>
    </row>
    <row r="12" spans="1:17">
      <c r="A12" s="25" t="s">
        <v>9</v>
      </c>
      <c r="B12" s="56">
        <v>737513</v>
      </c>
      <c r="C12" s="56">
        <v>668949</v>
      </c>
      <c r="D12" s="56">
        <v>609591</v>
      </c>
      <c r="E12" s="56">
        <v>598099</v>
      </c>
      <c r="G12" s="25" t="s">
        <v>10</v>
      </c>
      <c r="H12" s="56">
        <v>1075995</v>
      </c>
      <c r="I12" s="56">
        <v>1057387</v>
      </c>
      <c r="J12" s="56">
        <v>1021494</v>
      </c>
      <c r="K12" s="56">
        <v>973078</v>
      </c>
      <c r="M12" s="25" t="s">
        <v>11</v>
      </c>
      <c r="N12" s="56">
        <v>166928</v>
      </c>
      <c r="O12" s="56">
        <v>160121</v>
      </c>
      <c r="P12" s="56">
        <v>140438</v>
      </c>
      <c r="Q12" s="56">
        <v>129026</v>
      </c>
    </row>
    <row r="13" spans="1:17">
      <c r="A13" s="25" t="s">
        <v>12</v>
      </c>
      <c r="B13" s="56">
        <v>81812</v>
      </c>
      <c r="C13" s="56">
        <v>105774</v>
      </c>
      <c r="D13" s="56">
        <v>77835</v>
      </c>
      <c r="E13" s="56">
        <v>80720</v>
      </c>
      <c r="G13" s="25" t="s">
        <v>13</v>
      </c>
      <c r="H13" s="56">
        <v>581980</v>
      </c>
      <c r="I13" s="56">
        <v>563964</v>
      </c>
      <c r="J13" s="56">
        <v>579056</v>
      </c>
      <c r="K13" s="56">
        <v>474285</v>
      </c>
      <c r="M13" s="25" t="s">
        <v>14</v>
      </c>
      <c r="N13" s="56">
        <v>7747</v>
      </c>
      <c r="O13" s="58">
        <v>-57594</v>
      </c>
      <c r="P13" s="58">
        <v>-17156</v>
      </c>
      <c r="Q13" s="58">
        <v>-243</v>
      </c>
    </row>
    <row r="14" spans="1:17">
      <c r="A14" s="25" t="s">
        <v>15</v>
      </c>
      <c r="B14" s="56">
        <v>1914339</v>
      </c>
      <c r="C14" s="56">
        <v>1879949</v>
      </c>
      <c r="D14" s="56">
        <v>1805602</v>
      </c>
      <c r="E14" s="56">
        <v>1571809</v>
      </c>
      <c r="G14" s="25" t="s">
        <v>16</v>
      </c>
      <c r="H14" s="56">
        <v>21739</v>
      </c>
      <c r="I14" s="56">
        <v>46430</v>
      </c>
      <c r="J14" s="58">
        <v>-748</v>
      </c>
      <c r="K14" s="56">
        <v>14634</v>
      </c>
      <c r="M14" s="25" t="s">
        <v>9</v>
      </c>
      <c r="N14" s="58">
        <v>-68564</v>
      </c>
      <c r="O14" s="58">
        <v>-59599</v>
      </c>
      <c r="P14" s="58">
        <v>-18222</v>
      </c>
      <c r="Q14" s="58">
        <v>-68139</v>
      </c>
    </row>
    <row r="15" spans="1:17">
      <c r="A15" s="25" t="s">
        <v>17</v>
      </c>
      <c r="B15" s="57"/>
      <c r="C15" s="57"/>
      <c r="D15" s="57"/>
      <c r="E15" s="57"/>
      <c r="G15" s="25" t="s">
        <v>18</v>
      </c>
      <c r="H15" s="56">
        <v>603719</v>
      </c>
      <c r="I15" s="56">
        <v>610394</v>
      </c>
      <c r="J15" s="56">
        <v>578308</v>
      </c>
      <c r="K15" s="56">
        <v>488919</v>
      </c>
      <c r="M15" s="25" t="s">
        <v>19</v>
      </c>
      <c r="N15" s="58">
        <v>-17753</v>
      </c>
      <c r="O15" s="56">
        <v>19231</v>
      </c>
      <c r="P15" s="58">
        <v>-16995</v>
      </c>
      <c r="Q15" s="58">
        <v>-51799</v>
      </c>
    </row>
    <row r="16" spans="1:17">
      <c r="A16" s="25" t="s">
        <v>20</v>
      </c>
      <c r="B16" s="56">
        <v>3259444</v>
      </c>
      <c r="C16" s="56">
        <v>3017488</v>
      </c>
      <c r="D16" s="56">
        <v>2805788</v>
      </c>
      <c r="E16" s="56">
        <v>2545826</v>
      </c>
      <c r="G16" s="25" t="s">
        <v>21</v>
      </c>
      <c r="H16" s="56">
        <v>295908</v>
      </c>
      <c r="I16" s="56">
        <v>283255</v>
      </c>
      <c r="J16" s="56">
        <v>247994</v>
      </c>
      <c r="K16" s="56">
        <v>216397</v>
      </c>
      <c r="M16" s="25" t="s">
        <v>22</v>
      </c>
      <c r="N16" s="56">
        <v>38562</v>
      </c>
      <c r="O16" s="56">
        <v>25198</v>
      </c>
      <c r="P16" s="56">
        <v>93069</v>
      </c>
      <c r="Q16" s="56">
        <v>13857</v>
      </c>
    </row>
    <row r="17" spans="1:26">
      <c r="A17" s="25" t="s">
        <v>23</v>
      </c>
      <c r="B17" s="56">
        <v>618854</v>
      </c>
      <c r="C17" s="56">
        <v>662831</v>
      </c>
      <c r="D17" s="56">
        <v>802859</v>
      </c>
      <c r="E17" s="56">
        <v>618125</v>
      </c>
      <c r="G17" s="25" t="s">
        <v>11</v>
      </c>
      <c r="H17" s="57">
        <v>0</v>
      </c>
      <c r="I17" s="57">
        <v>0</v>
      </c>
      <c r="J17" s="57">
        <v>0</v>
      </c>
      <c r="K17" s="57">
        <v>0</v>
      </c>
      <c r="M17" s="25" t="s">
        <v>24</v>
      </c>
      <c r="N17" s="58">
        <v>-30333</v>
      </c>
      <c r="O17" s="58">
        <v>-8285</v>
      </c>
      <c r="P17" s="58">
        <v>-8841</v>
      </c>
      <c r="Q17" s="56">
        <v>18383</v>
      </c>
    </row>
    <row r="18" spans="1:26">
      <c r="A18" s="25" t="s">
        <v>25</v>
      </c>
      <c r="B18" s="56">
        <v>669176</v>
      </c>
      <c r="C18" s="56">
        <v>567121</v>
      </c>
      <c r="D18" s="56">
        <v>421480</v>
      </c>
      <c r="E18" s="56">
        <v>570250</v>
      </c>
      <c r="G18" s="25" t="s">
        <v>26</v>
      </c>
      <c r="H18" s="56">
        <v>8128</v>
      </c>
      <c r="I18" s="56">
        <v>8688</v>
      </c>
      <c r="J18" s="56">
        <v>12148</v>
      </c>
      <c r="K18" s="56">
        <v>16353</v>
      </c>
      <c r="M18" s="25" t="s">
        <v>27</v>
      </c>
      <c r="N18" s="58">
        <v>-201462</v>
      </c>
      <c r="O18" s="58">
        <v>-238589</v>
      </c>
      <c r="P18" s="58">
        <v>-375625</v>
      </c>
      <c r="Q18" s="58">
        <v>-285806</v>
      </c>
    </row>
    <row r="19" spans="1:26">
      <c r="A19" s="25" t="s">
        <v>28</v>
      </c>
      <c r="B19" s="56">
        <v>73520</v>
      </c>
      <c r="C19" s="56">
        <v>71841</v>
      </c>
      <c r="D19" s="56">
        <v>60273</v>
      </c>
      <c r="E19" s="56">
        <v>51620</v>
      </c>
      <c r="G19" s="25" t="s">
        <v>29</v>
      </c>
      <c r="H19" s="56">
        <v>304036</v>
      </c>
      <c r="I19" s="56">
        <v>291943</v>
      </c>
      <c r="J19" s="56">
        <v>260142</v>
      </c>
      <c r="K19" s="56">
        <v>232750</v>
      </c>
      <c r="M19" s="25" t="s">
        <v>30</v>
      </c>
      <c r="N19" s="56">
        <v>8290</v>
      </c>
      <c r="O19" s="58">
        <v>-21952</v>
      </c>
      <c r="P19" s="56">
        <v>3710</v>
      </c>
      <c r="Q19" s="58">
        <v>-23924</v>
      </c>
    </row>
    <row r="20" spans="1:26">
      <c r="A20" s="25" t="s">
        <v>31</v>
      </c>
      <c r="B20" s="56">
        <v>1897894</v>
      </c>
      <c r="C20" s="56">
        <v>1715695</v>
      </c>
      <c r="D20" s="56">
        <v>1521176</v>
      </c>
      <c r="E20" s="56">
        <v>1305831</v>
      </c>
      <c r="G20" s="25" t="s">
        <v>32</v>
      </c>
      <c r="H20" s="56">
        <v>299683</v>
      </c>
      <c r="I20" s="56">
        <v>318451</v>
      </c>
      <c r="J20" s="56">
        <v>318166</v>
      </c>
      <c r="K20" s="56">
        <v>256169</v>
      </c>
      <c r="M20" s="25" t="s">
        <v>33</v>
      </c>
      <c r="N20" s="56">
        <v>59757</v>
      </c>
      <c r="O20" s="56">
        <v>12681</v>
      </c>
      <c r="P20" s="58">
        <v>-29866</v>
      </c>
      <c r="Q20" s="56">
        <v>95069</v>
      </c>
    </row>
    <row r="21" spans="1:26">
      <c r="A21" s="25" t="s">
        <v>34</v>
      </c>
      <c r="B21" s="59"/>
      <c r="C21" s="59"/>
      <c r="D21" s="57"/>
      <c r="E21" s="59"/>
      <c r="G21" s="25" t="s">
        <v>35</v>
      </c>
      <c r="H21" s="56">
        <v>15866</v>
      </c>
      <c r="I21" s="56">
        <v>8229</v>
      </c>
      <c r="J21" s="56">
        <v>8723</v>
      </c>
      <c r="K21" s="56">
        <v>8580</v>
      </c>
      <c r="M21" s="25" t="s">
        <v>36</v>
      </c>
      <c r="N21" s="58">
        <v>-131876</v>
      </c>
      <c r="O21" s="58">
        <v>-113110</v>
      </c>
      <c r="P21" s="58">
        <v>-95219</v>
      </c>
      <c r="Q21" s="58">
        <v>-89428</v>
      </c>
    </row>
    <row r="22" spans="1:26">
      <c r="A22" s="25" t="s">
        <v>37</v>
      </c>
      <c r="B22" s="56">
        <v>3259444</v>
      </c>
      <c r="C22" s="56">
        <v>3017488</v>
      </c>
      <c r="D22" s="56">
        <v>2805788</v>
      </c>
      <c r="E22" s="56">
        <v>2545826</v>
      </c>
      <c r="G22" s="25" t="s">
        <v>8</v>
      </c>
      <c r="H22" s="56">
        <v>283817</v>
      </c>
      <c r="I22" s="56">
        <v>310222</v>
      </c>
      <c r="J22" s="56">
        <v>309443</v>
      </c>
      <c r="K22" s="56">
        <v>247589</v>
      </c>
      <c r="M22" s="25" t="s">
        <v>38</v>
      </c>
      <c r="N22" s="56">
        <v>70443</v>
      </c>
      <c r="O22" s="56">
        <v>42119</v>
      </c>
      <c r="P22" s="56">
        <v>57383</v>
      </c>
      <c r="Q22" s="56">
        <v>64218</v>
      </c>
    </row>
    <row r="23" spans="1:26">
      <c r="B23" s="4">
        <f>B11+B12</f>
        <v>1263293</v>
      </c>
      <c r="C23" s="4">
        <f>C11+C12</f>
        <v>1031765</v>
      </c>
      <c r="D23" s="4">
        <f>D11+D12</f>
        <v>922351</v>
      </c>
      <c r="E23" s="4">
        <f>E11+E12</f>
        <v>893297</v>
      </c>
      <c r="G23" s="25" t="s">
        <v>39</v>
      </c>
      <c r="H23" s="56">
        <v>1151222</v>
      </c>
      <c r="I23" s="56">
        <v>961697</v>
      </c>
      <c r="J23" s="56">
        <v>778348</v>
      </c>
      <c r="K23" s="56">
        <v>769418</v>
      </c>
      <c r="M23" s="25" t="s">
        <v>40</v>
      </c>
      <c r="N23" s="56">
        <v>185556</v>
      </c>
      <c r="O23" s="56">
        <v>70443</v>
      </c>
      <c r="P23" s="56">
        <v>42119</v>
      </c>
      <c r="Q23" s="56">
        <v>57383</v>
      </c>
    </row>
    <row r="24" spans="1:26">
      <c r="G24" s="25" t="s">
        <v>41</v>
      </c>
      <c r="H24" s="56">
        <v>28382</v>
      </c>
      <c r="I24" s="56">
        <v>6797</v>
      </c>
      <c r="J24" s="56">
        <v>30944</v>
      </c>
      <c r="K24" s="56">
        <v>149759</v>
      </c>
      <c r="M24" s="2" t="s">
        <v>42</v>
      </c>
      <c r="N24" s="12">
        <f>SUM(N11:N17)</f>
        <v>380404</v>
      </c>
      <c r="O24" s="12">
        <f>SUM(O11:O17)</f>
        <v>389294</v>
      </c>
      <c r="P24" s="12">
        <f>SUM(P11:P17)</f>
        <v>481736</v>
      </c>
      <c r="Q24" s="12">
        <f>SUM(Q11:Q17)</f>
        <v>297254</v>
      </c>
    </row>
    <row r="25" spans="1:26">
      <c r="B25" s="28">
        <f>H20/B22</f>
        <v>9.1942981686447142E-2</v>
      </c>
      <c r="G25" s="25" t="s">
        <v>43</v>
      </c>
      <c r="H25" s="56">
        <v>100000</v>
      </c>
      <c r="I25" s="56">
        <v>112500</v>
      </c>
      <c r="J25" s="56">
        <v>93750</v>
      </c>
      <c r="K25" s="56">
        <v>87500</v>
      </c>
      <c r="M25" s="2" t="s">
        <v>44</v>
      </c>
      <c r="N25" s="12">
        <f>N18+N19</f>
        <v>-193172</v>
      </c>
      <c r="O25" s="12">
        <f>O18+O19</f>
        <v>-260541</v>
      </c>
      <c r="P25" s="12">
        <f>P18+P19</f>
        <v>-371915</v>
      </c>
      <c r="Q25" s="12">
        <f>Q18+Q19</f>
        <v>-309730</v>
      </c>
    </row>
    <row r="26" spans="1:26">
      <c r="G26" s="25" t="s">
        <v>45</v>
      </c>
      <c r="H26" s="56">
        <v>126400</v>
      </c>
      <c r="I26" s="56">
        <v>1400</v>
      </c>
      <c r="J26" s="56">
        <v>1400</v>
      </c>
      <c r="K26" s="56">
        <v>1400</v>
      </c>
      <c r="M26" s="2" t="s">
        <v>46</v>
      </c>
      <c r="N26" s="12">
        <f>N20+N21</f>
        <v>-72119</v>
      </c>
      <c r="O26" s="12">
        <f>O20+O21</f>
        <v>-100429</v>
      </c>
      <c r="P26" s="12">
        <f>P20+P21</f>
        <v>-125085</v>
      </c>
      <c r="Q26" s="12">
        <f>Q20+Q21</f>
        <v>5641</v>
      </c>
    </row>
    <row r="27" spans="1:26">
      <c r="G27" s="25" t="s">
        <v>47</v>
      </c>
      <c r="H27" s="56">
        <v>1180257</v>
      </c>
      <c r="I27" s="56">
        <v>1151222</v>
      </c>
      <c r="J27" s="56">
        <v>961697</v>
      </c>
      <c r="K27" s="56">
        <v>778348</v>
      </c>
      <c r="M27" s="2" t="s">
        <v>48</v>
      </c>
      <c r="N27" s="12">
        <f>N24+N25+N26</f>
        <v>115113</v>
      </c>
      <c r="O27" s="12">
        <f>O24+O25+O26</f>
        <v>28324</v>
      </c>
      <c r="P27" s="12">
        <f>P24+P25+P26</f>
        <v>-15264</v>
      </c>
      <c r="Q27" s="12">
        <f>Q24+Q25+Q26</f>
        <v>-6835</v>
      </c>
    </row>
    <row r="28" spans="1:26"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0.16130972030812618</v>
      </c>
      <c r="C30" s="24">
        <f t="shared" si="0"/>
        <v>0.12023776068040701</v>
      </c>
      <c r="D30" s="24">
        <f t="shared" si="0"/>
        <v>0.11146957646122943</v>
      </c>
      <c r="E30" s="24">
        <f t="shared" si="0"/>
        <v>0.11595372189615473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0.17118291892217916</v>
      </c>
      <c r="O30" s="26">
        <f t="shared" ref="O30:O42" si="3">O11/I$11</f>
        <v>0.19133549737225314</v>
      </c>
      <c r="P30" s="26">
        <f t="shared" ref="P30:P42" si="4">P11/J$11</f>
        <v>0.19333541595076692</v>
      </c>
      <c r="Q30" s="26">
        <f t="shared" ref="Q30:Q42" si="5">Q11/K$11</f>
        <v>0.17699015381766703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0.22626957235651235</v>
      </c>
      <c r="C31" s="24">
        <f t="shared" si="0"/>
        <v>0.22169069106488576</v>
      </c>
      <c r="D31" s="24">
        <f t="shared" si="0"/>
        <v>0.21726195991999395</v>
      </c>
      <c r="E31" s="24">
        <f t="shared" si="0"/>
        <v>0.23493318082225573</v>
      </c>
      <c r="F31" s="6"/>
      <c r="G31" s="25" t="s">
        <v>10</v>
      </c>
      <c r="H31" s="24">
        <f t="shared" si="1"/>
        <v>0.64898143820021414</v>
      </c>
      <c r="I31" s="24">
        <f t="shared" si="1"/>
        <v>0.65216415199423194</v>
      </c>
      <c r="J31" s="24">
        <f t="shared" si="1"/>
        <v>0.63821436381243946</v>
      </c>
      <c r="K31" s="24">
        <f t="shared" si="1"/>
        <v>0.67231095447375677</v>
      </c>
      <c r="L31" s="6"/>
      <c r="M31" s="25" t="s">
        <v>11</v>
      </c>
      <c r="N31" s="26">
        <f t="shared" si="2"/>
        <v>0.10068185587840589</v>
      </c>
      <c r="O31" s="26">
        <f t="shared" si="3"/>
        <v>9.875776435824199E-2</v>
      </c>
      <c r="P31" s="26">
        <f t="shared" si="4"/>
        <v>8.7743588141576331E-2</v>
      </c>
      <c r="Q31" s="26">
        <f t="shared" si="5"/>
        <v>8.9145570254317685E-2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2.5099986378044843E-2</v>
      </c>
      <c r="C32" s="24">
        <f t="shared" si="0"/>
        <v>3.5053660528227455E-2</v>
      </c>
      <c r="D32" s="24">
        <f t="shared" si="0"/>
        <v>2.7740869944557465E-2</v>
      </c>
      <c r="E32" s="24">
        <f t="shared" si="0"/>
        <v>3.1706801643160219E-2</v>
      </c>
      <c r="F32" s="6"/>
      <c r="G32" s="25" t="s">
        <v>13</v>
      </c>
      <c r="H32" s="24">
        <f t="shared" si="1"/>
        <v>0.35101856179978591</v>
      </c>
      <c r="I32" s="24">
        <f t="shared" si="1"/>
        <v>0.34783584800576806</v>
      </c>
      <c r="J32" s="24">
        <f t="shared" si="1"/>
        <v>0.36178563618756054</v>
      </c>
      <c r="K32" s="24">
        <f t="shared" si="1"/>
        <v>0.32768904552624323</v>
      </c>
      <c r="L32" s="6"/>
      <c r="M32" s="25" t="s">
        <v>14</v>
      </c>
      <c r="N32" s="26">
        <f t="shared" si="2"/>
        <v>4.6725674391954039E-3</v>
      </c>
      <c r="O32" s="26">
        <f t="shared" si="3"/>
        <v>-3.5522228067827386E-2</v>
      </c>
      <c r="P32" s="26">
        <f t="shared" si="4"/>
        <v>-1.0718815407203774E-2</v>
      </c>
      <c r="Q32" s="26">
        <f t="shared" si="5"/>
        <v>-1.6789153792103295E-4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0.58732072095731669</v>
      </c>
      <c r="C33" s="24">
        <f t="shared" si="0"/>
        <v>0.62301788772647981</v>
      </c>
      <c r="D33" s="24">
        <f t="shared" si="0"/>
        <v>0.64352759367421919</v>
      </c>
      <c r="E33" s="24">
        <f t="shared" si="0"/>
        <v>0.6174062956384293</v>
      </c>
      <c r="F33" s="6"/>
      <c r="G33" s="25" t="s">
        <v>16</v>
      </c>
      <c r="H33" s="24">
        <f t="shared" si="1"/>
        <v>1.3111777921862513E-2</v>
      </c>
      <c r="I33" s="24">
        <f t="shared" si="1"/>
        <v>2.863661230665044E-2</v>
      </c>
      <c r="J33" s="24">
        <f t="shared" si="1"/>
        <v>-4.6733935209771643E-4</v>
      </c>
      <c r="K33" s="24">
        <f t="shared" si="1"/>
        <v>1.0110801505911095E-2</v>
      </c>
      <c r="L33" s="6"/>
      <c r="M33" s="25" t="s">
        <v>9</v>
      </c>
      <c r="N33" s="26">
        <f t="shared" si="2"/>
        <v>-4.1354061430359322E-2</v>
      </c>
      <c r="O33" s="26">
        <f t="shared" si="3"/>
        <v>-3.6758851106268788E-2</v>
      </c>
      <c r="P33" s="26">
        <f t="shared" si="4"/>
        <v>-1.1384836462466028E-2</v>
      </c>
      <c r="Q33" s="26">
        <f t="shared" si="5"/>
        <v>-4.7078030874079274E-2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0</v>
      </c>
      <c r="E34" s="24">
        <f t="shared" si="0"/>
        <v>0</v>
      </c>
      <c r="F34" s="6"/>
      <c r="G34" s="25" t="s">
        <v>18</v>
      </c>
      <c r="H34" s="24">
        <f t="shared" si="1"/>
        <v>0.36413033972164838</v>
      </c>
      <c r="I34" s="24">
        <f t="shared" si="1"/>
        <v>0.37647246031241849</v>
      </c>
      <c r="J34" s="24">
        <f t="shared" si="1"/>
        <v>0.36131829683546279</v>
      </c>
      <c r="K34" s="24">
        <f t="shared" si="1"/>
        <v>0.33779984703215432</v>
      </c>
      <c r="L34" s="6"/>
      <c r="M34" s="25" t="s">
        <v>19</v>
      </c>
      <c r="N34" s="26">
        <f t="shared" si="2"/>
        <v>-1.0707640344396025E-2</v>
      </c>
      <c r="O34" s="26">
        <f t="shared" si="3"/>
        <v>1.1861096085918472E-2</v>
      </c>
      <c r="P34" s="26">
        <f t="shared" si="4"/>
        <v>-1.0618224985161351E-2</v>
      </c>
      <c r="Q34" s="26">
        <f t="shared" si="5"/>
        <v>-3.5788534044327511E-2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0.17847554999321461</v>
      </c>
      <c r="I35" s="24">
        <f t="shared" si="1"/>
        <v>0.17470307169761515</v>
      </c>
      <c r="J35" s="24">
        <f t="shared" si="1"/>
        <v>0.15494298834775547</v>
      </c>
      <c r="K35" s="24">
        <f t="shared" si="1"/>
        <v>0.14951121453291261</v>
      </c>
      <c r="L35" s="6"/>
      <c r="M35" s="25" t="s">
        <v>22</v>
      </c>
      <c r="N35" s="26">
        <f t="shared" si="2"/>
        <v>2.3258493041209909E-2</v>
      </c>
      <c r="O35" s="26">
        <f t="shared" si="3"/>
        <v>1.5541360260671502E-2</v>
      </c>
      <c r="P35" s="26">
        <f t="shared" si="4"/>
        <v>5.8148136578051297E-2</v>
      </c>
      <c r="Q35" s="26">
        <f t="shared" si="5"/>
        <v>9.5739631315710019E-3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0.18986489720332669</v>
      </c>
      <c r="C36" s="24">
        <f t="shared" si="0"/>
        <v>0.21966317678810984</v>
      </c>
      <c r="D36" s="24">
        <f t="shared" si="0"/>
        <v>0.28614385691292427</v>
      </c>
      <c r="E36" s="24">
        <f t="shared" si="0"/>
        <v>0.24279939006043619</v>
      </c>
      <c r="F36" s="6"/>
      <c r="G36" s="25" t="s">
        <v>11</v>
      </c>
      <c r="H36" s="24">
        <f t="shared" si="1"/>
        <v>0</v>
      </c>
      <c r="I36" s="24">
        <f t="shared" si="1"/>
        <v>0</v>
      </c>
      <c r="J36" s="24">
        <f t="shared" si="1"/>
        <v>0</v>
      </c>
      <c r="K36" s="24">
        <f t="shared" si="1"/>
        <v>0</v>
      </c>
      <c r="L36" s="6"/>
      <c r="M36" s="25" t="s">
        <v>24</v>
      </c>
      <c r="N36" s="26">
        <f t="shared" si="2"/>
        <v>-1.8295209517634463E-2</v>
      </c>
      <c r="O36" s="26">
        <f t="shared" si="3"/>
        <v>-5.1099360965022383E-3</v>
      </c>
      <c r="P36" s="26">
        <f t="shared" si="4"/>
        <v>-5.5237262191121803E-3</v>
      </c>
      <c r="Q36" s="26">
        <f t="shared" si="5"/>
        <v>1.2701029389310076E-2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0.20530372664785773</v>
      </c>
      <c r="C37" s="24">
        <f t="shared" si="0"/>
        <v>0.18794474079101559</v>
      </c>
      <c r="D37" s="24">
        <f t="shared" si="0"/>
        <v>0.15021804926102755</v>
      </c>
      <c r="E37" s="24">
        <f t="shared" si="0"/>
        <v>0.22399409857547217</v>
      </c>
      <c r="F37" s="6"/>
      <c r="G37" s="25" t="s">
        <v>26</v>
      </c>
      <c r="H37" s="24">
        <f t="shared" si="1"/>
        <v>4.9023658378443587E-3</v>
      </c>
      <c r="I37" s="24">
        <f t="shared" si="1"/>
        <v>5.358494243380983E-3</v>
      </c>
      <c r="J37" s="24">
        <f t="shared" si="1"/>
        <v>7.5898909749773516E-3</v>
      </c>
      <c r="K37" s="24">
        <f t="shared" si="1"/>
        <v>1.1298478681574698E-2</v>
      </c>
      <c r="L37" s="6"/>
      <c r="M37" s="25" t="s">
        <v>27</v>
      </c>
      <c r="N37" s="26">
        <f t="shared" si="2"/>
        <v>-0.12151087923521163</v>
      </c>
      <c r="O37" s="26">
        <f t="shared" si="3"/>
        <v>-0.14715444095695504</v>
      </c>
      <c r="P37" s="26">
        <f t="shared" si="4"/>
        <v>-0.2346849520477336</v>
      </c>
      <c r="Q37" s="26">
        <f t="shared" si="5"/>
        <v>-0.19746670323892485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2.2555994212509863E-2</v>
      </c>
      <c r="C38" s="24">
        <f t="shared" si="0"/>
        <v>2.3808213984612366E-2</v>
      </c>
      <c r="D38" s="24">
        <f t="shared" si="0"/>
        <v>2.1481665756643054E-2</v>
      </c>
      <c r="E38" s="24">
        <f t="shared" si="0"/>
        <v>2.0276326818879215E-2</v>
      </c>
      <c r="F38" s="6"/>
      <c r="G38" s="25" t="s">
        <v>29</v>
      </c>
      <c r="H38" s="24">
        <f t="shared" si="1"/>
        <v>0.18337791583105897</v>
      </c>
      <c r="I38" s="24">
        <f t="shared" si="1"/>
        <v>0.18006156594099612</v>
      </c>
      <c r="J38" s="24">
        <f t="shared" si="1"/>
        <v>0.1625328793227328</v>
      </c>
      <c r="K38" s="24">
        <f t="shared" si="1"/>
        <v>0.16080969321448732</v>
      </c>
      <c r="L38" s="6"/>
      <c r="M38" s="25" t="s">
        <v>30</v>
      </c>
      <c r="N38" s="26">
        <f t="shared" si="2"/>
        <v>5.0000753931754094E-3</v>
      </c>
      <c r="O38" s="26">
        <f t="shared" si="3"/>
        <v>-1.3539326154546425E-2</v>
      </c>
      <c r="P38" s="26">
        <f t="shared" si="4"/>
        <v>2.3179532035862674E-3</v>
      </c>
      <c r="Q38" s="26">
        <f t="shared" si="5"/>
        <v>-1.6529371000916841E-2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0.58227538193630568</v>
      </c>
      <c r="C39" s="24">
        <f t="shared" si="0"/>
        <v>0.56858386843626219</v>
      </c>
      <c r="D39" s="24">
        <f t="shared" si="0"/>
        <v>0.54215642806940512</v>
      </c>
      <c r="E39" s="24">
        <f t="shared" si="0"/>
        <v>0.51293018454521244</v>
      </c>
      <c r="F39" s="6"/>
      <c r="G39" s="25" t="s">
        <v>32</v>
      </c>
      <c r="H39" s="24">
        <f t="shared" si="1"/>
        <v>0.18075242389058943</v>
      </c>
      <c r="I39" s="24">
        <f t="shared" si="1"/>
        <v>0.19641089437142234</v>
      </c>
      <c r="J39" s="24">
        <f t="shared" si="1"/>
        <v>0.19878541751272999</v>
      </c>
      <c r="K39" s="24">
        <f t="shared" si="1"/>
        <v>0.17699015381766703</v>
      </c>
      <c r="L39" s="6"/>
      <c r="M39" s="25" t="s">
        <v>33</v>
      </c>
      <c r="N39" s="26">
        <f t="shared" si="2"/>
        <v>3.6042159863689138E-2</v>
      </c>
      <c r="O39" s="26">
        <f t="shared" si="3"/>
        <v>7.8212552371448255E-3</v>
      </c>
      <c r="P39" s="26">
        <f t="shared" si="4"/>
        <v>-1.865983568148449E-2</v>
      </c>
      <c r="Q39" s="26">
        <f t="shared" si="5"/>
        <v>6.5684282381130374E-2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9.5695049684102595E-3</v>
      </c>
      <c r="I40" s="24">
        <f t="shared" si="1"/>
        <v>5.0753969991692112E-3</v>
      </c>
      <c r="J40" s="24">
        <f t="shared" si="1"/>
        <v>5.4500015619630754E-3</v>
      </c>
      <c r="K40" s="24">
        <f t="shared" si="1"/>
        <v>5.9280222031377061E-3</v>
      </c>
      <c r="L40" s="6"/>
      <c r="M40" s="25" t="s">
        <v>36</v>
      </c>
      <c r="N40" s="26">
        <f t="shared" si="2"/>
        <v>-7.9540403202702087E-2</v>
      </c>
      <c r="O40" s="26">
        <f t="shared" si="3"/>
        <v>-6.9762808916761399E-2</v>
      </c>
      <c r="P40" s="26">
        <f t="shared" si="4"/>
        <v>-5.9491424822717194E-2</v>
      </c>
      <c r="Q40" s="26">
        <f t="shared" si="5"/>
        <v>-6.178684960165487E-2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0.17118291892217916</v>
      </c>
      <c r="I41" s="24">
        <f t="shared" si="1"/>
        <v>0.19133549737225314</v>
      </c>
      <c r="J41" s="24">
        <f t="shared" si="1"/>
        <v>0.19333541595076692</v>
      </c>
      <c r="K41" s="24">
        <f t="shared" si="1"/>
        <v>0.17106213161452932</v>
      </c>
      <c r="L41" s="6"/>
      <c r="M41" s="25" t="s">
        <v>38</v>
      </c>
      <c r="N41" s="26">
        <f t="shared" si="2"/>
        <v>4.2487371643118867E-2</v>
      </c>
      <c r="O41" s="26">
        <f t="shared" si="3"/>
        <v>2.5977718581602628E-2</v>
      </c>
      <c r="P41" s="26">
        <f t="shared" si="4"/>
        <v>3.5852050857517727E-2</v>
      </c>
      <c r="Q41" s="26">
        <f t="shared" si="5"/>
        <v>4.4368966181946065E-2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0.69435425745261536</v>
      </c>
      <c r="I42" s="24">
        <f t="shared" si="1"/>
        <v>0.59314546942642277</v>
      </c>
      <c r="J42" s="24">
        <f t="shared" si="1"/>
        <v>0.48630033426009811</v>
      </c>
      <c r="K42" s="24">
        <f t="shared" si="1"/>
        <v>0.53159988199228525</v>
      </c>
      <c r="L42" s="6"/>
      <c r="M42" s="25" t="s">
        <v>40</v>
      </c>
      <c r="N42" s="26">
        <f t="shared" si="2"/>
        <v>0.11191724845067025</v>
      </c>
      <c r="O42" s="26">
        <f t="shared" si="3"/>
        <v>4.3447100596971294E-2</v>
      </c>
      <c r="P42" s="26">
        <f t="shared" si="4"/>
        <v>2.6315329105619942E-2</v>
      </c>
      <c r="Q42" s="26">
        <f t="shared" si="5"/>
        <v>3.9646584858117832E-2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1.7118472835838901E-2</v>
      </c>
      <c r="I43" s="24">
        <f t="shared" si="1"/>
        <v>4.1921829387961025E-3</v>
      </c>
      <c r="J43" s="24">
        <f t="shared" si="1"/>
        <v>1.9333354159507668E-2</v>
      </c>
      <c r="K43" s="24">
        <f t="shared" si="1"/>
        <v>0.10347024208854309</v>
      </c>
      <c r="L43" s="6"/>
      <c r="M43" s="2" t="s">
        <v>49</v>
      </c>
      <c r="N43" s="26">
        <f>N24/H11</f>
        <v>0.22943892398860055</v>
      </c>
      <c r="O43" s="26">
        <f>O24/I11</f>
        <v>0.24010470280648669</v>
      </c>
      <c r="P43" s="26">
        <f>P24/J11</f>
        <v>0.30098153759645124</v>
      </c>
      <c r="Q43" s="26">
        <f>Q24/K11</f>
        <v>0.20537626013653795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6.0314540327809529E-2</v>
      </c>
      <c r="I44" s="24">
        <f t="shared" si="1"/>
        <v>6.9386579463669495E-2</v>
      </c>
      <c r="J44" s="24">
        <f t="shared" si="1"/>
        <v>5.8573615319733839E-2</v>
      </c>
      <c r="K44" s="24">
        <f t="shared" si="1"/>
        <v>6.0454771885145607E-2</v>
      </c>
      <c r="L44" s="6"/>
      <c r="M44" s="2" t="s">
        <v>50</v>
      </c>
      <c r="N44" s="26">
        <f>N24/B16</f>
        <v>0.11670824840064747</v>
      </c>
      <c r="O44" s="26">
        <f>O24/C16</f>
        <v>0.12901260916364871</v>
      </c>
      <c r="P44" s="26">
        <f>P24/D16</f>
        <v>0.1716936561137192</v>
      </c>
      <c r="Q44" s="26">
        <f>Q24/E16</f>
        <v>0.11676131833047507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7.6237578974351239E-2</v>
      </c>
      <c r="I45" s="24">
        <f t="shared" si="1"/>
        <v>8.6347743332566482E-4</v>
      </c>
      <c r="J45" s="24">
        <f t="shared" si="1"/>
        <v>8.7469932210802541E-4</v>
      </c>
      <c r="K45" s="24">
        <f t="shared" si="1"/>
        <v>9.6727635016232967E-4</v>
      </c>
      <c r="L45" s="6"/>
      <c r="M45" s="2" t="s">
        <v>51</v>
      </c>
      <c r="N45" s="26">
        <f>N24/B20</f>
        <v>0.20043479772842951</v>
      </c>
      <c r="O45" s="26">
        <f>O24/C20</f>
        <v>0.22690163461454396</v>
      </c>
      <c r="P45" s="26">
        <f>P24/D20</f>
        <v>0.31668656355346125</v>
      </c>
      <c r="Q45" s="26">
        <f>Q24/E20</f>
        <v>0.22763588856444669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0.71186658423679483</v>
      </c>
      <c r="I46" s="24">
        <f t="shared" si="1"/>
        <v>0.71003872696288461</v>
      </c>
      <c r="J46" s="24">
        <f t="shared" si="1"/>
        <v>0.60085408140951546</v>
      </c>
      <c r="K46" s="24">
        <f t="shared" si="1"/>
        <v>0.53776972328296357</v>
      </c>
      <c r="L46" s="6"/>
      <c r="M46" s="2" t="s">
        <v>52</v>
      </c>
      <c r="N46" s="26">
        <f>N24/H22</f>
        <v>1.3403143574909184</v>
      </c>
      <c r="O46" s="26">
        <f>O24/I22</f>
        <v>1.2548884347338358</v>
      </c>
      <c r="P46" s="26">
        <f>P24/J22</f>
        <v>1.5567842866052877</v>
      </c>
      <c r="Q46" s="26">
        <f>Q24/K22</f>
        <v>1.2005945336828372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0.2793904006463222</v>
      </c>
      <c r="O47" s="26">
        <f>O24/(C22-C20)</f>
        <v>0.29904447174013071</v>
      </c>
      <c r="P47" s="26">
        <f>P24/(D22-D20)</f>
        <v>0.37500505989357097</v>
      </c>
      <c r="Q47" s="26">
        <f>Q24/(E22-E20)</f>
        <v>0.23972193436263856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3.8040400000000001</v>
      </c>
      <c r="O48" s="26">
        <f>O24/I25</f>
        <v>3.460391111111111</v>
      </c>
      <c r="P48" s="26">
        <f>P24/J25</f>
        <v>5.1385173333333336</v>
      </c>
      <c r="Q48" s="26">
        <f>Q24/K25</f>
        <v>3.3971885714285714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1.8882171327595278</v>
      </c>
      <c r="O49" s="26">
        <f>O24/(O18*-1)</f>
        <v>1.6316510819861771</v>
      </c>
      <c r="P49" s="26">
        <f>P24/(P18*-1)</f>
        <v>1.282491846921797</v>
      </c>
      <c r="Q49" s="26">
        <f>Q24/(Q18*-1)</f>
        <v>1.0400551422993218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3.1445663206187392E-2</v>
      </c>
      <c r="I50" s="28">
        <f>LN(I13/J13)</f>
        <v>-2.6408771702585456E-2</v>
      </c>
      <c r="J50" s="28">
        <f>LN(J13/K13)</f>
        <v>0.19959078454621235</v>
      </c>
      <c r="M50" s="2"/>
      <c r="N50" s="12"/>
      <c r="O50" s="12"/>
    </row>
    <row r="51" spans="1:26">
      <c r="A51" s="29" t="s">
        <v>57</v>
      </c>
      <c r="B51" s="30">
        <f>B23/B17</f>
        <v>2.0413425460609451</v>
      </c>
      <c r="C51" s="30">
        <f>C23/C17</f>
        <v>1.5566034177641057</v>
      </c>
      <c r="D51" s="30">
        <f>D23/D17</f>
        <v>1.1488331076814235</v>
      </c>
      <c r="E51" s="30">
        <f>E23/E17</f>
        <v>1.4451720930232559</v>
      </c>
      <c r="G51" s="29" t="s">
        <v>58</v>
      </c>
      <c r="H51" s="63">
        <f>H13/H11</f>
        <v>0.35101856179978591</v>
      </c>
      <c r="I51" s="63">
        <f>I13/I11</f>
        <v>0.34783584800576806</v>
      </c>
      <c r="J51" s="63">
        <f>J13/J11</f>
        <v>0.36178563618756054</v>
      </c>
      <c r="K51" s="63">
        <f>K13/K11</f>
        <v>0.32768904552624323</v>
      </c>
      <c r="M51" s="2" t="s">
        <v>59</v>
      </c>
      <c r="N51" s="32">
        <f>(N11-N24-N25)/B16</f>
        <v>2.9632354475180429E-2</v>
      </c>
      <c r="O51" s="32">
        <f>(O11-O24-O25)/C16</f>
        <v>6.0139095830704217E-2</v>
      </c>
      <c r="P51" s="32">
        <f>(P11-P24-P25)/D16</f>
        <v>7.1146501446296015E-2</v>
      </c>
      <c r="Q51" s="32">
        <f>(Q11-Q24-Q25)/E16</f>
        <v>0.10552370821886492</v>
      </c>
    </row>
    <row r="52" spans="1:26">
      <c r="A52" s="29" t="s">
        <v>60</v>
      </c>
      <c r="B52" s="49">
        <f>H20/B16</f>
        <v>9.1942981686447142E-2</v>
      </c>
      <c r="C52" s="49">
        <f>I20/C16</f>
        <v>0.10553513385968727</v>
      </c>
      <c r="D52" s="49">
        <f>J20/D16</f>
        <v>0.11339630791777569</v>
      </c>
      <c r="E52" s="49">
        <f>K20/E16</f>
        <v>0.10062313763784328</v>
      </c>
      <c r="F52" s="31"/>
      <c r="G52" s="29" t="s">
        <v>61</v>
      </c>
      <c r="H52" s="63">
        <f>H16/H11</f>
        <v>0.17847554999321461</v>
      </c>
      <c r="I52" s="63">
        <f>I16/I11</f>
        <v>0.17470307169761515</v>
      </c>
      <c r="J52" s="63">
        <f>J16/J11</f>
        <v>0.15494298834775547</v>
      </c>
      <c r="K52" s="63">
        <f>K16/K11</f>
        <v>0.14951121453291261</v>
      </c>
      <c r="M52" s="6"/>
    </row>
    <row r="53" spans="1:26">
      <c r="A53" s="29" t="s">
        <v>62</v>
      </c>
      <c r="B53" s="49">
        <f>H20/B20</f>
        <v>0.15790291765504291</v>
      </c>
      <c r="C53" s="49">
        <f>I20/C20</f>
        <v>0.18561049603804872</v>
      </c>
      <c r="D53" s="49">
        <f>J20/D20</f>
        <v>0.20915791466602154</v>
      </c>
      <c r="E53" s="49">
        <f>K20/E20</f>
        <v>0.19617316482760785</v>
      </c>
      <c r="G53" s="29" t="s">
        <v>11</v>
      </c>
      <c r="H53" s="71">
        <f>H17/H11</f>
        <v>0</v>
      </c>
      <c r="I53" s="71">
        <f>I17/I11</f>
        <v>0</v>
      </c>
      <c r="J53" s="71">
        <f>J17/J11</f>
        <v>0</v>
      </c>
      <c r="K53" s="71">
        <f>K17/K11</f>
        <v>0</v>
      </c>
      <c r="M53" s="6"/>
    </row>
    <row r="54" spans="1:26">
      <c r="A54" s="29" t="s">
        <v>63</v>
      </c>
      <c r="B54" s="30">
        <f>H11/B12</f>
        <v>2.2480620680584615</v>
      </c>
      <c r="C54" s="30">
        <f>I11/C12</f>
        <v>2.4237288642332975</v>
      </c>
      <c r="D54" s="30">
        <f>J11/D12</f>
        <v>2.6256129109517694</v>
      </c>
      <c r="E54" s="30">
        <f>K11/E12</f>
        <v>2.4199388395566621</v>
      </c>
      <c r="G54" s="29" t="s">
        <v>64</v>
      </c>
      <c r="H54" s="63">
        <f>H25/H22</f>
        <v>0.35233971185658364</v>
      </c>
      <c r="I54" s="63">
        <f>I25/I22</f>
        <v>0.3626435262489443</v>
      </c>
      <c r="J54" s="63">
        <f>J25/J22</f>
        <v>0.30296371221840535</v>
      </c>
      <c r="K54" s="63">
        <f>K25/K22</f>
        <v>0.35340826934960762</v>
      </c>
      <c r="M54" s="6"/>
    </row>
    <row r="55" spans="1:26">
      <c r="A55" s="29" t="s">
        <v>65</v>
      </c>
      <c r="B55" s="31">
        <f>(B22-B20)/B16</f>
        <v>0.41772461806369432</v>
      </c>
      <c r="C55" s="31">
        <f>(C22-C20)/C16</f>
        <v>0.43141613156373776</v>
      </c>
      <c r="D55" s="31">
        <f>(D22-D20)/D16</f>
        <v>0.45784357193059488</v>
      </c>
      <c r="E55" s="31">
        <f>(E22-E20)/E16</f>
        <v>0.48706981545478756</v>
      </c>
      <c r="G55" s="29" t="s">
        <v>66</v>
      </c>
      <c r="H55" s="63">
        <f>H22/H11</f>
        <v>0.17118291892217916</v>
      </c>
      <c r="I55" s="63">
        <f>I22/I11</f>
        <v>0.19133549737225314</v>
      </c>
      <c r="J55" s="63">
        <f>J22/J11</f>
        <v>0.19333541595076692</v>
      </c>
      <c r="K55" s="63">
        <f>K22/K11</f>
        <v>0.17106213161452932</v>
      </c>
      <c r="L55" s="31"/>
      <c r="M55" s="6"/>
    </row>
    <row r="56" spans="1:26">
      <c r="A56" s="29" t="s">
        <v>67</v>
      </c>
      <c r="B56" s="31">
        <f>(B22-B20)/B20</f>
        <v>0.71740044491420485</v>
      </c>
      <c r="C56" s="31">
        <f>(C22-C20)/C20</f>
        <v>0.75875548975779494</v>
      </c>
      <c r="D56" s="31">
        <f>(D22-D20)/D20</f>
        <v>0.84448610811635205</v>
      </c>
      <c r="E56" s="31">
        <f>(E22-E20)/E20</f>
        <v>0.94958306243304069</v>
      </c>
      <c r="G56" s="33" t="s">
        <v>68</v>
      </c>
      <c r="H56" s="34">
        <f>H13/B16</f>
        <v>0.17855192480680754</v>
      </c>
      <c r="I56" s="34">
        <f>I13/C16</f>
        <v>0.18689850630723304</v>
      </c>
      <c r="J56" s="34">
        <f>J13/D16</f>
        <v>0.20637909920492925</v>
      </c>
      <c r="K56" s="34">
        <f>K13/E16</f>
        <v>0.18629906364378399</v>
      </c>
      <c r="M56" s="6"/>
    </row>
    <row r="57" spans="1:26">
      <c r="A57" s="29" t="s">
        <v>69</v>
      </c>
      <c r="B57" s="30">
        <f>H11/B16</f>
        <v>0.50866804277048483</v>
      </c>
      <c r="C57" s="30">
        <f>I11/C16</f>
        <v>0.53731812686579039</v>
      </c>
      <c r="D57" s="30">
        <f>J11/D16</f>
        <v>0.570445807024622</v>
      </c>
      <c r="E57" s="30">
        <f>K11/E16</f>
        <v>0.56852392897236492</v>
      </c>
      <c r="G57" s="33" t="s">
        <v>70</v>
      </c>
      <c r="H57" s="35">
        <f>H25/$B$5</f>
        <v>60.624431645953322</v>
      </c>
      <c r="I57" s="35">
        <f>I25/$B$5</f>
        <v>68.202485601697489</v>
      </c>
      <c r="J57" s="35">
        <f>J25/$B$5</f>
        <v>56.835404668081239</v>
      </c>
      <c r="K57" s="35">
        <f>K25/$B$5</f>
        <v>53.046377690209155</v>
      </c>
      <c r="M57" s="6"/>
    </row>
    <row r="58" spans="1:26">
      <c r="A58" s="29" t="s">
        <v>71</v>
      </c>
      <c r="B58" s="30">
        <f>B16/B20</f>
        <v>1.7174004449142048</v>
      </c>
      <c r="C58" s="30">
        <f>C16/C20</f>
        <v>1.7587554897577951</v>
      </c>
      <c r="D58" s="30">
        <f>D16/D20</f>
        <v>1.8444861081163522</v>
      </c>
      <c r="E58" s="30">
        <f>E16/E20</f>
        <v>1.9495830624330408</v>
      </c>
      <c r="G58" s="36" t="s">
        <v>72</v>
      </c>
      <c r="H58" s="37">
        <f>H22/$B$7/1000</f>
        <v>5.6763399999999997</v>
      </c>
      <c r="I58" s="37">
        <f>I22/$B$7/1000</f>
        <v>6.20444</v>
      </c>
      <c r="J58" s="37">
        <f>J22/$B$7/1000</f>
        <v>6.18886</v>
      </c>
      <c r="K58" s="37">
        <f>K22/$B$7/1000</f>
        <v>4.9517799999999994</v>
      </c>
      <c r="M58" s="6"/>
    </row>
    <row r="59" spans="1:26" ht="14.25" customHeight="1">
      <c r="G59" s="36" t="s">
        <v>73</v>
      </c>
      <c r="H59" s="37">
        <f>B20/$B$7/1000</f>
        <v>37.957879999999996</v>
      </c>
      <c r="I59" s="37">
        <f>C20/$B$7/1000</f>
        <v>34.313900000000004</v>
      </c>
      <c r="J59" s="37">
        <f>D20/$B$7/1000</f>
        <v>30.42352</v>
      </c>
      <c r="K59" s="37">
        <f>E20/$B$7/1000</f>
        <v>26.116619999999998</v>
      </c>
      <c r="M59" s="6"/>
    </row>
    <row r="60" spans="1:26">
      <c r="G60" s="33" t="s">
        <v>74</v>
      </c>
      <c r="H60" s="38">
        <f>SQRT(22.5*H58*H59)</f>
        <v>69.626799672123369</v>
      </c>
      <c r="I60" s="38">
        <f>SQRT(22.5*I58*I59)</f>
        <v>69.211393632912788</v>
      </c>
      <c r="J60" s="38">
        <f>SQRT(22.5*J58*J59)</f>
        <v>65.088058695216901</v>
      </c>
      <c r="K60" s="38">
        <f>SQRT(22.5*K58*K59)</f>
        <v>53.942418588074077</v>
      </c>
      <c r="M60" s="6"/>
    </row>
    <row r="61" spans="1:26">
      <c r="G61" s="33" t="s">
        <v>75</v>
      </c>
      <c r="H61" s="39">
        <f>H58-(B20*0.08/1000/$B$7)</f>
        <v>2.6397096000000002</v>
      </c>
      <c r="I61" s="39">
        <f>I58-(C20*0.08/1000/$B$7)</f>
        <v>3.4593279999999997</v>
      </c>
      <c r="J61" s="39">
        <f>J58-(D20*0.08/1000/$B$7)</f>
        <v>3.7549784000000002</v>
      </c>
      <c r="K61" s="39">
        <f>K58-(E20*0.08/1000/$B$7)</f>
        <v>2.8624503999999997</v>
      </c>
      <c r="M61" s="6"/>
    </row>
    <row r="62" spans="1:26">
      <c r="G62" s="2" t="s">
        <v>76</v>
      </c>
      <c r="H62" s="69">
        <v>2</v>
      </c>
      <c r="I62" s="69">
        <v>2</v>
      </c>
      <c r="J62" s="69">
        <v>2.25</v>
      </c>
      <c r="K62" s="69">
        <v>1.88</v>
      </c>
      <c r="M62" s="6"/>
    </row>
    <row r="63" spans="1:26">
      <c r="A63" s="2"/>
      <c r="M63" s="6"/>
    </row>
    <row r="64" spans="1:26">
      <c r="G64" s="2" t="s">
        <v>105</v>
      </c>
      <c r="H64" s="6">
        <f>I51/H51</f>
        <v>0.99093291882429513</v>
      </c>
      <c r="I64" s="6">
        <f>J51/I51</f>
        <v>1.0401045155689679</v>
      </c>
      <c r="J64" s="6">
        <f>K51/J51</f>
        <v>0.90575471425393839</v>
      </c>
      <c r="M64" s="6"/>
    </row>
    <row r="65" spans="7:13">
      <c r="G65" s="2" t="s">
        <v>106</v>
      </c>
      <c r="H65" s="6">
        <f>H11/I11</f>
        <v>1.0225885696557995</v>
      </c>
      <c r="I65" s="6">
        <f>I11/J11</f>
        <v>1.0129961575708351</v>
      </c>
      <c r="J65" s="6">
        <f>J11/K11</f>
        <v>1.1058386873230834</v>
      </c>
      <c r="M65" s="6"/>
    </row>
    <row r="66" spans="7:13">
      <c r="G66" s="2" t="s">
        <v>107</v>
      </c>
      <c r="H66" s="6">
        <f>(N13/1948687)/(O13/1747778)</f>
        <v>-0.12064254615707677</v>
      </c>
      <c r="I66" s="6">
        <f>(O13/1948687)/(P13/1747778)</f>
        <v>3.0109627658523594</v>
      </c>
      <c r="J66" s="6">
        <f>(P13/1948687)/(Q13/1747778)</f>
        <v>63.321901003296837</v>
      </c>
      <c r="M66" s="6"/>
    </row>
    <row r="67" spans="7:13">
      <c r="G67" s="2" t="s">
        <v>108</v>
      </c>
      <c r="H67" s="6">
        <f>H52/I52</f>
        <v>1.0215936575066582</v>
      </c>
      <c r="I67" s="6">
        <f>I52/J52</f>
        <v>1.1275313169093524</v>
      </c>
      <c r="J67" s="6">
        <f>J52/K52</f>
        <v>1.0363302099565725</v>
      </c>
      <c r="M67" s="6"/>
    </row>
    <row r="68" spans="7:13">
      <c r="G68" s="2" t="s">
        <v>109</v>
      </c>
      <c r="H68" s="2">
        <v>0</v>
      </c>
      <c r="I68" s="2">
        <v>0</v>
      </c>
      <c r="J68" s="2">
        <v>0</v>
      </c>
      <c r="M68" s="6"/>
    </row>
    <row r="69" spans="7:13">
      <c r="G69" s="2" t="s">
        <v>110</v>
      </c>
      <c r="H69" s="6">
        <f>B58/C58</f>
        <v>0.97648618862347636</v>
      </c>
      <c r="I69" s="6">
        <f>C58/D58</f>
        <v>0.95352059417454327</v>
      </c>
      <c r="J69" s="6">
        <f>D58/E58</f>
        <v>0.94609259982720117</v>
      </c>
      <c r="M69" s="6"/>
    </row>
    <row r="70" spans="7:13">
      <c r="G70" s="2" t="s">
        <v>111</v>
      </c>
      <c r="H70" s="6">
        <f>((1-B11)/B16)/((1-C11)/C16)</f>
        <v>1.3415906716795596</v>
      </c>
      <c r="I70" s="6">
        <f>((1-C11)/C16)/((1-D11)/D16)</f>
        <v>1.0786603622010937</v>
      </c>
      <c r="J70" s="6">
        <f>((1-D11)/D16)/((1-E11)/E16)</f>
        <v>0.96132832859423467</v>
      </c>
      <c r="M70" s="6"/>
    </row>
    <row r="71" spans="7:13">
      <c r="G71" s="2" t="s">
        <v>112</v>
      </c>
      <c r="H71" s="6">
        <f>((H13-H16-H17)-N24)/B16</f>
        <v>-2.8941132291274218E-2</v>
      </c>
      <c r="I71" s="6">
        <f>((I13-I16-I17)-O24)/C16</f>
        <v>-3.5985230098678107E-2</v>
      </c>
      <c r="J71" s="6">
        <f>((J13-J16-J17)-P24)/D16</f>
        <v>-5.3701134939631932E-2</v>
      </c>
      <c r="K71" s="6">
        <f>((K13-K16-K17)-Q24)/E16</f>
        <v>-1.5462957798372709E-2</v>
      </c>
      <c r="M71" s="6"/>
    </row>
    <row r="72" spans="7:13">
      <c r="G72" s="2" t="s">
        <v>113</v>
      </c>
      <c r="H72" s="6">
        <f>-4.84 + 0.92 *H66  + 0.528 *H64 + 0.404 *H70 + 0.892 *H65 + 0.115 *H68 - 0.172 *H67- 0.327 *H69 + 4.697 *H71</f>
        <v>-3.6045885169769054</v>
      </c>
      <c r="I72" s="6">
        <f>-4.84 + 0.92 *I66  + 0.528 *I64 + 0.404 *I70 + 0.892 *I65 + 0.115 *I68 - 0.172 *I67- 0.327 *I69 + 4.697 *I71</f>
        <v>-0.85612695888996249</v>
      </c>
      <c r="J72" s="6">
        <f>-4.84 + 0.92 *J66  + 0.528 *J64 + 0.404 *J70 + 0.892 *J65 + 0.115 *J68 - 0.172 *J67- 0.327 *J69 + 4.697 *J71</f>
        <v>54.529316858935957</v>
      </c>
      <c r="M72" s="6"/>
    </row>
    <row r="73" spans="7:13">
      <c r="H73" s="6" t="str">
        <f>IF(H72&gt;-2.22,"CARE","Good")</f>
        <v>Good</v>
      </c>
      <c r="I73" s="6" t="str">
        <f>IF(I72&gt;-2.22,"CARE","Good")</f>
        <v>CARE</v>
      </c>
      <c r="J73" s="6" t="str">
        <f>IF(J72&gt;-2.22,"CARE","Good")</f>
        <v>CARE</v>
      </c>
      <c r="M73" s="6"/>
    </row>
    <row r="74" spans="7:13">
      <c r="G74" s="2" t="s">
        <v>86</v>
      </c>
      <c r="H74" s="6">
        <f>H59*$B$7/$B$5</f>
        <v>1.1505874507426492</v>
      </c>
      <c r="I74" s="6">
        <f>I59*$B$7/$B$5</f>
        <v>1.0401303425280388</v>
      </c>
      <c r="J74" s="6">
        <f>J59*$B$7/$B$5</f>
        <v>0.92220430433464684</v>
      </c>
      <c r="K74" s="6">
        <f>K59*$B$7/$B$5</f>
        <v>0.79165262200666864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0.10894059587456212</v>
      </c>
      <c r="I77" s="28">
        <f>(I15-I16)/$B$6</f>
        <v>0.11578116959370645</v>
      </c>
      <c r="J77" s="28">
        <f>(J15-J16)/$B$6</f>
        <v>0.11690486690115073</v>
      </c>
      <c r="K77" s="28">
        <f>(K15-K16)/$B$6</f>
        <v>9.6451098462782089E-2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zoomScaleNormal="100" workbookViewId="0"/>
  </sheetViews>
  <sheetFormatPr defaultRowHeight="15"/>
  <cols>
    <col min="1" max="14" width="15.140625"/>
    <col min="15" max="15" width="23.140625"/>
    <col min="16" max="29" width="15.140625"/>
    <col min="30" max="1025" width="14.42578125"/>
  </cols>
  <sheetData>
    <row r="1" spans="1:20">
      <c r="A1" s="2"/>
      <c r="B1" s="78">
        <v>2150</v>
      </c>
      <c r="C1" s="78">
        <v>2150</v>
      </c>
      <c r="O1" s="6"/>
    </row>
    <row r="2" spans="1:20">
      <c r="A2" s="2"/>
      <c r="B2" s="78" t="str">
        <f ca="1">IFERROR(__xludf.dummyfunction("GoogleFinance(""TADAWUL:""&amp;B1,""eps"")"),"1.99")</f>
        <v>1.99</v>
      </c>
      <c r="C2" s="78" t="str">
        <f ca="1">IFERROR(__xludf.dummyfunction("GoogleFinance(""TADAWUL:""&amp;B1,""eps"")"),"1.99")</f>
        <v>1.99</v>
      </c>
      <c r="O2" s="6"/>
    </row>
    <row r="3" spans="1:20">
      <c r="A3" s="2"/>
      <c r="B3" s="2"/>
      <c r="C3" s="2"/>
      <c r="O3" s="6"/>
    </row>
    <row r="4" spans="1:20">
      <c r="A4" s="2"/>
      <c r="B4" s="79"/>
      <c r="C4" s="79"/>
      <c r="O4" s="6"/>
    </row>
    <row r="5" spans="1:20">
      <c r="A5" s="2" t="s">
        <v>0</v>
      </c>
      <c r="B5" s="80" t="str">
        <f ca="1">IFERROR(__xludf.dummyfunction("GoogleFinance(""TADAWUL:""&amp;B1,""marketcap"")/1000000"),"686.30")</f>
        <v>686.30</v>
      </c>
      <c r="C5" s="80" t="str">
        <f ca="1">IFERROR(__xludf.dummyfunction("GoogleFinance(""TADAWUL:""&amp;B1,""marketcap"")/1000000"),"686.30")</f>
        <v>686.30</v>
      </c>
      <c r="O5" s="6"/>
    </row>
    <row r="6" spans="1:20">
      <c r="A6" s="2" t="s">
        <v>1</v>
      </c>
      <c r="B6" s="4">
        <f ca="1">B5*1000+(B22-B20)-P23</f>
        <v>829115</v>
      </c>
      <c r="C6" s="4">
        <f ca="1">C5*1000+(C22-C20)-Q23</f>
        <v>766030</v>
      </c>
      <c r="O6" s="6"/>
    </row>
    <row r="7" spans="1:20">
      <c r="A7" s="2" t="s">
        <v>2</v>
      </c>
      <c r="B7" s="5" t="str">
        <f ca="1">IFERROR(__xludf.dummyfunction("GoogleFinance(""TADAWUL:""&amp;B1,""shares"")/1000000"),"32.932066")</f>
        <v>32.932066</v>
      </c>
      <c r="C7" s="5" t="str">
        <f ca="1">IFERROR(__xludf.dummyfunction("GoogleFinance(""TADAWUL:""&amp;B1,""shares"")/1000000"),"32.932066")</f>
        <v>32.932066</v>
      </c>
      <c r="O7" s="6"/>
    </row>
    <row r="8" spans="1:20">
      <c r="O8" s="6"/>
    </row>
    <row r="9" spans="1:20">
      <c r="O9" s="6"/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22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22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22">
        <v>41274</v>
      </c>
    </row>
    <row r="11" spans="1:20">
      <c r="A11" s="10" t="s">
        <v>6</v>
      </c>
      <c r="B11" s="11">
        <v>46818</v>
      </c>
      <c r="C11" s="11">
        <v>102866</v>
      </c>
      <c r="D11" s="11">
        <v>159789</v>
      </c>
      <c r="E11" s="11">
        <v>101420</v>
      </c>
      <c r="F11" s="56">
        <v>95911</v>
      </c>
      <c r="H11" s="10" t="s">
        <v>7</v>
      </c>
      <c r="I11" s="11">
        <v>100820</v>
      </c>
      <c r="J11" s="11">
        <v>103890</v>
      </c>
      <c r="K11" s="11">
        <v>100031</v>
      </c>
      <c r="L11" s="11">
        <v>102019</v>
      </c>
      <c r="M11" s="56">
        <v>112746</v>
      </c>
      <c r="O11" s="10" t="s">
        <v>8</v>
      </c>
      <c r="P11" s="11">
        <v>22056</v>
      </c>
      <c r="Q11" s="11">
        <v>45107</v>
      </c>
      <c r="R11" s="11">
        <v>61510</v>
      </c>
      <c r="S11" s="11">
        <v>44925</v>
      </c>
      <c r="T11" s="56">
        <v>43658</v>
      </c>
    </row>
    <row r="12" spans="1:20">
      <c r="A12" s="10" t="s">
        <v>9</v>
      </c>
      <c r="B12" s="11">
        <v>28649</v>
      </c>
      <c r="C12" s="11">
        <v>15207</v>
      </c>
      <c r="D12" s="11">
        <v>13536</v>
      </c>
      <c r="E12" s="11">
        <v>15147</v>
      </c>
      <c r="F12" s="56">
        <v>12059</v>
      </c>
      <c r="H12" s="10" t="s">
        <v>10</v>
      </c>
      <c r="I12" s="11">
        <v>73503</v>
      </c>
      <c r="J12" s="11">
        <v>69568</v>
      </c>
      <c r="K12" s="11">
        <v>63301</v>
      </c>
      <c r="L12" s="11">
        <v>64825</v>
      </c>
      <c r="M12" s="56">
        <v>70912</v>
      </c>
      <c r="O12" s="10" t="s">
        <v>11</v>
      </c>
      <c r="P12" s="11">
        <v>21646</v>
      </c>
      <c r="Q12" s="11">
        <v>10221</v>
      </c>
      <c r="R12" s="11">
        <v>8393</v>
      </c>
      <c r="S12" s="11">
        <v>10984</v>
      </c>
      <c r="T12" s="56">
        <v>12445</v>
      </c>
    </row>
    <row r="13" spans="1:20">
      <c r="A13" s="10" t="s">
        <v>12</v>
      </c>
      <c r="B13" s="11">
        <v>281446</v>
      </c>
      <c r="C13" s="11">
        <v>253530</v>
      </c>
      <c r="D13" s="11">
        <v>242420</v>
      </c>
      <c r="E13" s="11">
        <v>312889</v>
      </c>
      <c r="F13" s="56">
        <v>343836</v>
      </c>
      <c r="H13" s="10" t="s">
        <v>13</v>
      </c>
      <c r="I13" s="11">
        <v>27317</v>
      </c>
      <c r="J13" s="11">
        <v>34322</v>
      </c>
      <c r="K13" s="11">
        <v>36730</v>
      </c>
      <c r="L13" s="11">
        <v>37194</v>
      </c>
      <c r="M13" s="56">
        <v>41834</v>
      </c>
      <c r="O13" s="10" t="s">
        <v>14</v>
      </c>
      <c r="P13" s="13">
        <v>-1679</v>
      </c>
      <c r="Q13" s="13">
        <v>-5709</v>
      </c>
      <c r="R13" s="11">
        <v>2554</v>
      </c>
      <c r="S13" s="11">
        <v>4664</v>
      </c>
      <c r="T13" s="58">
        <v>-4519</v>
      </c>
    </row>
    <row r="14" spans="1:20">
      <c r="A14" s="10" t="s">
        <v>15</v>
      </c>
      <c r="B14" s="11">
        <v>321386</v>
      </c>
      <c r="C14" s="11">
        <v>285898</v>
      </c>
      <c r="D14" s="11">
        <v>238019</v>
      </c>
      <c r="E14" s="11">
        <v>114490</v>
      </c>
      <c r="F14" s="56">
        <v>48395</v>
      </c>
      <c r="H14" s="10" t="s">
        <v>16</v>
      </c>
      <c r="I14" s="11">
        <v>22787</v>
      </c>
      <c r="J14" s="11">
        <v>29514</v>
      </c>
      <c r="K14" s="11">
        <v>43897</v>
      </c>
      <c r="L14" s="11">
        <v>25075</v>
      </c>
      <c r="M14" s="56">
        <v>25314</v>
      </c>
      <c r="O14" s="10" t="s">
        <v>9</v>
      </c>
      <c r="P14" s="13">
        <v>-13442</v>
      </c>
      <c r="Q14" s="13">
        <v>-1671</v>
      </c>
      <c r="R14" s="11">
        <v>1611</v>
      </c>
      <c r="S14" s="13">
        <v>-3088</v>
      </c>
      <c r="T14" s="56">
        <v>637</v>
      </c>
    </row>
    <row r="15" spans="1:20">
      <c r="A15" s="10" t="s">
        <v>17</v>
      </c>
      <c r="B15" s="11">
        <v>48862</v>
      </c>
      <c r="C15" s="11">
        <v>83934</v>
      </c>
      <c r="D15" s="11">
        <v>106388</v>
      </c>
      <c r="E15" s="11">
        <v>95600</v>
      </c>
      <c r="F15" s="56">
        <v>112026</v>
      </c>
      <c r="H15" s="10" t="s">
        <v>18</v>
      </c>
      <c r="I15" s="11">
        <v>50104</v>
      </c>
      <c r="J15" s="11">
        <v>63836</v>
      </c>
      <c r="K15" s="11">
        <v>80627</v>
      </c>
      <c r="L15" s="11">
        <v>62269</v>
      </c>
      <c r="M15" s="56">
        <v>67148</v>
      </c>
      <c r="O15" s="10" t="s">
        <v>19</v>
      </c>
      <c r="P15" s="13">
        <v>-2588</v>
      </c>
      <c r="Q15" s="13">
        <v>-991</v>
      </c>
      <c r="R15" s="11">
        <v>1066</v>
      </c>
      <c r="S15" s="13">
        <v>-1546</v>
      </c>
      <c r="T15" s="56">
        <v>3</v>
      </c>
    </row>
    <row r="16" spans="1:20">
      <c r="A16" s="10" t="s">
        <v>20</v>
      </c>
      <c r="B16" s="11">
        <v>727161</v>
      </c>
      <c r="C16" s="11">
        <v>741435</v>
      </c>
      <c r="D16" s="11">
        <v>760152</v>
      </c>
      <c r="E16" s="11">
        <v>639546</v>
      </c>
      <c r="F16" s="56">
        <v>612227</v>
      </c>
      <c r="H16" s="10" t="s">
        <v>21</v>
      </c>
      <c r="I16" s="11">
        <v>14043</v>
      </c>
      <c r="J16" s="11">
        <v>13976</v>
      </c>
      <c r="K16" s="11">
        <v>12377</v>
      </c>
      <c r="L16" s="11">
        <v>12586</v>
      </c>
      <c r="M16" s="56">
        <v>12500</v>
      </c>
      <c r="O16" s="10" t="s">
        <v>22</v>
      </c>
      <c r="P16" s="13">
        <v>-3497</v>
      </c>
      <c r="Q16" s="13">
        <v>-4766</v>
      </c>
      <c r="R16" s="11">
        <v>5598</v>
      </c>
      <c r="S16" s="11">
        <v>3229</v>
      </c>
      <c r="T16" s="56">
        <v>689</v>
      </c>
    </row>
    <row r="17" spans="1:29">
      <c r="A17" s="10" t="s">
        <v>23</v>
      </c>
      <c r="B17" s="11">
        <v>57698</v>
      </c>
      <c r="C17" s="11">
        <v>55824</v>
      </c>
      <c r="D17" s="11">
        <v>45978</v>
      </c>
      <c r="E17" s="11">
        <v>37700</v>
      </c>
      <c r="F17" s="56">
        <v>37847</v>
      </c>
      <c r="H17" s="10" t="s">
        <v>11</v>
      </c>
      <c r="I17" s="18"/>
      <c r="J17" s="18"/>
      <c r="K17" s="18"/>
      <c r="L17" s="18"/>
      <c r="M17" s="57">
        <v>0</v>
      </c>
      <c r="O17" s="10" t="s">
        <v>24</v>
      </c>
      <c r="P17" s="13">
        <v>-12938</v>
      </c>
      <c r="Q17" s="13">
        <v>-23733</v>
      </c>
      <c r="R17" s="13">
        <v>-29789</v>
      </c>
      <c r="S17" s="13">
        <v>-15689</v>
      </c>
      <c r="T17" s="58">
        <v>-13176</v>
      </c>
    </row>
    <row r="18" spans="1:29">
      <c r="A18" s="10" t="s">
        <v>25</v>
      </c>
      <c r="B18" s="11">
        <v>93389</v>
      </c>
      <c r="C18" s="11">
        <v>93729</v>
      </c>
      <c r="D18" s="11">
        <v>85597</v>
      </c>
      <c r="E18" s="11">
        <v>965</v>
      </c>
      <c r="F18" s="57"/>
      <c r="H18" s="10" t="s">
        <v>26</v>
      </c>
      <c r="I18" s="11">
        <v>10909</v>
      </c>
      <c r="J18" s="18"/>
      <c r="K18" s="18"/>
      <c r="L18" s="18"/>
      <c r="M18" s="56">
        <v>5135</v>
      </c>
      <c r="O18" s="10" t="s">
        <v>27</v>
      </c>
      <c r="P18" s="13">
        <v>-57133</v>
      </c>
      <c r="Q18" s="13">
        <v>-58101</v>
      </c>
      <c r="R18" s="13">
        <v>-131922</v>
      </c>
      <c r="S18" s="13">
        <v>-78321</v>
      </c>
      <c r="T18" s="58">
        <v>-3300</v>
      </c>
    </row>
    <row r="19" spans="1:29">
      <c r="A19" s="10" t="s">
        <v>28</v>
      </c>
      <c r="B19" s="11">
        <v>13797</v>
      </c>
      <c r="C19" s="11">
        <v>12561</v>
      </c>
      <c r="D19" s="11">
        <v>11763</v>
      </c>
      <c r="E19" s="11">
        <v>10212</v>
      </c>
      <c r="F19" s="56">
        <v>10045</v>
      </c>
      <c r="H19" s="10" t="s">
        <v>29</v>
      </c>
      <c r="I19" s="11">
        <v>24952</v>
      </c>
      <c r="J19" s="11">
        <v>13976</v>
      </c>
      <c r="K19" s="11">
        <v>12377</v>
      </c>
      <c r="L19" s="11">
        <v>12586</v>
      </c>
      <c r="M19" s="56">
        <v>17635</v>
      </c>
      <c r="O19" s="10" t="s">
        <v>30</v>
      </c>
      <c r="P19" s="11">
        <v>30562</v>
      </c>
      <c r="Q19" s="11">
        <v>27277</v>
      </c>
      <c r="R19" s="11">
        <v>96604</v>
      </c>
      <c r="S19" s="11">
        <v>84980</v>
      </c>
      <c r="T19" s="56">
        <v>24033</v>
      </c>
    </row>
    <row r="20" spans="1:29">
      <c r="A20" s="10" t="s">
        <v>31</v>
      </c>
      <c r="B20" s="11">
        <v>562277</v>
      </c>
      <c r="C20" s="11">
        <v>579321</v>
      </c>
      <c r="D20" s="11">
        <v>616814</v>
      </c>
      <c r="E20" s="11">
        <v>590669</v>
      </c>
      <c r="F20" s="56">
        <v>564335</v>
      </c>
      <c r="H20" s="10" t="s">
        <v>32</v>
      </c>
      <c r="I20" s="11">
        <v>25152</v>
      </c>
      <c r="J20" s="11">
        <v>49860</v>
      </c>
      <c r="K20" s="11">
        <v>68250</v>
      </c>
      <c r="L20" s="11">
        <v>49683</v>
      </c>
      <c r="M20" s="56">
        <v>49513</v>
      </c>
      <c r="O20" s="10" t="s">
        <v>33</v>
      </c>
      <c r="P20" s="13">
        <v>-4234</v>
      </c>
      <c r="Q20" s="11">
        <v>31187</v>
      </c>
      <c r="R20" s="11">
        <v>85439</v>
      </c>
      <c r="S20" s="13">
        <v>-2230</v>
      </c>
      <c r="T20" s="58">
        <v>-8800</v>
      </c>
    </row>
    <row r="21" spans="1:29">
      <c r="A21" s="10" t="s">
        <v>34</v>
      </c>
      <c r="B21" s="15"/>
      <c r="C21" s="15"/>
      <c r="D21" s="15"/>
      <c r="E21" s="18"/>
      <c r="F21" s="59"/>
      <c r="H21" s="10" t="s">
        <v>35</v>
      </c>
      <c r="I21" s="11">
        <v>3096</v>
      </c>
      <c r="J21" s="11">
        <v>4753</v>
      </c>
      <c r="K21" s="11">
        <v>6740</v>
      </c>
      <c r="L21" s="11">
        <v>4758</v>
      </c>
      <c r="M21" s="56">
        <v>5855</v>
      </c>
      <c r="O21" s="10" t="s">
        <v>36</v>
      </c>
      <c r="P21" s="13">
        <v>-39068</v>
      </c>
      <c r="Q21" s="13">
        <v>-82444</v>
      </c>
      <c r="R21" s="13">
        <v>-39074</v>
      </c>
      <c r="S21" s="13">
        <v>-39281</v>
      </c>
      <c r="T21" s="58">
        <v>-68696</v>
      </c>
    </row>
    <row r="22" spans="1:29">
      <c r="A22" s="10" t="s">
        <v>37</v>
      </c>
      <c r="B22" s="11">
        <v>727161</v>
      </c>
      <c r="C22" s="11">
        <v>741435</v>
      </c>
      <c r="D22" s="11">
        <v>760152</v>
      </c>
      <c r="E22" s="11">
        <v>639546</v>
      </c>
      <c r="F22" s="56">
        <v>612227</v>
      </c>
      <c r="H22" s="10" t="s">
        <v>8</v>
      </c>
      <c r="I22" s="11">
        <v>22056</v>
      </c>
      <c r="J22" s="11">
        <v>45107</v>
      </c>
      <c r="K22" s="11">
        <v>61510</v>
      </c>
      <c r="L22" s="11">
        <v>44925</v>
      </c>
      <c r="M22" s="56">
        <v>43658</v>
      </c>
      <c r="O22" s="10" t="s">
        <v>38</v>
      </c>
      <c r="P22" s="11">
        <v>82384</v>
      </c>
      <c r="Q22" s="11">
        <v>146007</v>
      </c>
      <c r="R22" s="11">
        <v>84017</v>
      </c>
      <c r="S22" s="11">
        <v>75390</v>
      </c>
      <c r="T22" s="56">
        <v>92416</v>
      </c>
    </row>
    <row r="23" spans="1:29">
      <c r="B23" s="4">
        <f>B11+B12</f>
        <v>75467</v>
      </c>
      <c r="C23" s="4">
        <f>C11+C12</f>
        <v>118073</v>
      </c>
      <c r="D23" s="4">
        <f>D11+D12</f>
        <v>173325</v>
      </c>
      <c r="E23" s="4">
        <f>E11+E12</f>
        <v>116567</v>
      </c>
      <c r="F23" s="4">
        <f>F11+F12</f>
        <v>107970</v>
      </c>
      <c r="H23" s="10" t="s">
        <v>39</v>
      </c>
      <c r="I23" s="11">
        <v>191355</v>
      </c>
      <c r="J23" s="11">
        <v>233359</v>
      </c>
      <c r="K23" s="11">
        <v>217100</v>
      </c>
      <c r="L23" s="11">
        <v>215768</v>
      </c>
      <c r="M23" s="56">
        <v>245575</v>
      </c>
      <c r="O23" s="10" t="s">
        <v>40</v>
      </c>
      <c r="P23" s="11">
        <v>22069</v>
      </c>
      <c r="Q23" s="11">
        <v>82384</v>
      </c>
      <c r="R23" s="11">
        <v>146007</v>
      </c>
      <c r="S23" s="11">
        <v>84017</v>
      </c>
      <c r="T23" s="56">
        <v>75390</v>
      </c>
    </row>
    <row r="24" spans="1:29">
      <c r="H24" s="10" t="s">
        <v>41</v>
      </c>
      <c r="I24" s="11">
        <v>2205</v>
      </c>
      <c r="J24" s="11">
        <v>4511</v>
      </c>
      <c r="K24" s="11">
        <v>6151</v>
      </c>
      <c r="L24" s="11">
        <v>4493</v>
      </c>
      <c r="M24" s="56">
        <v>4365</v>
      </c>
      <c r="O24" s="2" t="s">
        <v>42</v>
      </c>
      <c r="P24" s="12">
        <f>SUM(P11:P17)</f>
        <v>9558</v>
      </c>
      <c r="Q24" s="12">
        <f>SUM(Q11:Q17)</f>
        <v>18458</v>
      </c>
      <c r="R24" s="12">
        <f>SUM(R11:R17)</f>
        <v>50943</v>
      </c>
      <c r="S24" s="12">
        <f>SUM(S11:S17)</f>
        <v>43479</v>
      </c>
      <c r="T24" s="12">
        <f>SUM(T11:T17)</f>
        <v>39737</v>
      </c>
    </row>
    <row r="25" spans="1:29">
      <c r="H25" s="10" t="s">
        <v>43</v>
      </c>
      <c r="I25" s="11">
        <v>37500</v>
      </c>
      <c r="J25" s="11">
        <v>81000</v>
      </c>
      <c r="K25" s="11">
        <v>37500</v>
      </c>
      <c r="L25" s="11">
        <v>37500</v>
      </c>
      <c r="M25" s="56">
        <v>67500</v>
      </c>
      <c r="O25" s="2" t="s">
        <v>44</v>
      </c>
      <c r="P25" s="12">
        <f>P18+P19</f>
        <v>-26571</v>
      </c>
      <c r="Q25" s="12">
        <f>Q18+Q19</f>
        <v>-30824</v>
      </c>
      <c r="R25" s="12">
        <f>R18+R19</f>
        <v>-35318</v>
      </c>
      <c r="S25" s="12">
        <f>S18+S19</f>
        <v>6659</v>
      </c>
      <c r="T25" s="12">
        <f>T18+T19</f>
        <v>20733</v>
      </c>
    </row>
    <row r="26" spans="1:29">
      <c r="H26" s="10" t="s">
        <v>45</v>
      </c>
      <c r="I26" s="11">
        <v>1600</v>
      </c>
      <c r="J26" s="11">
        <v>1600</v>
      </c>
      <c r="K26" s="11">
        <v>1600</v>
      </c>
      <c r="L26" s="11">
        <v>1600</v>
      </c>
      <c r="M26" s="56">
        <v>1600</v>
      </c>
      <c r="O26" s="2" t="s">
        <v>46</v>
      </c>
      <c r="P26" s="12">
        <f>P20+P21</f>
        <v>-43302</v>
      </c>
      <c r="Q26" s="12">
        <f>Q20+Q21</f>
        <v>-51257</v>
      </c>
      <c r="R26" s="12">
        <f>R20+R21</f>
        <v>46365</v>
      </c>
      <c r="S26" s="12">
        <f>S20+S21</f>
        <v>-41511</v>
      </c>
      <c r="T26" s="12">
        <f>T20+T21</f>
        <v>-77496</v>
      </c>
    </row>
    <row r="27" spans="1:29">
      <c r="H27" s="10" t="s">
        <v>47</v>
      </c>
      <c r="I27" s="11">
        <v>172106</v>
      </c>
      <c r="J27" s="11">
        <v>191355</v>
      </c>
      <c r="K27" s="11">
        <v>233359</v>
      </c>
      <c r="L27" s="11">
        <v>217100</v>
      </c>
      <c r="M27" s="56">
        <v>215768</v>
      </c>
      <c r="O27" s="2" t="s">
        <v>48</v>
      </c>
      <c r="P27" s="12">
        <f>P24+P25+P26</f>
        <v>-60315</v>
      </c>
      <c r="Q27" s="12">
        <f>Q24+Q25+Q26</f>
        <v>-63623</v>
      </c>
      <c r="R27" s="12">
        <f>R24+R25+R26</f>
        <v>61990</v>
      </c>
      <c r="S27" s="12">
        <f>S24+S25+S26</f>
        <v>8627</v>
      </c>
      <c r="T27" s="12">
        <f>T24+T25+T26</f>
        <v>-17026</v>
      </c>
    </row>
    <row r="28" spans="1:29">
      <c r="O28" s="2"/>
      <c r="P28" s="12"/>
      <c r="Q28" s="12"/>
      <c r="R28" s="12"/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>
        <v>42369</v>
      </c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6.4384641090487527E-2</v>
      </c>
      <c r="C30" s="24">
        <f t="shared" si="0"/>
        <v>0.13873906680963266</v>
      </c>
      <c r="D30" s="24">
        <f t="shared" si="0"/>
        <v>0.21020664288194993</v>
      </c>
      <c r="E30" s="24">
        <f t="shared" si="0"/>
        <v>0.15858124356965722</v>
      </c>
      <c r="F30" s="24">
        <f t="shared" si="0"/>
        <v>0.15665921300432684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0.21876611783376315</v>
      </c>
      <c r="Q30" s="26">
        <f t="shared" ref="Q30:Q42" si="3">Q11/J$11</f>
        <v>0.43418038309750701</v>
      </c>
      <c r="R30" s="26">
        <f t="shared" ref="R30:R42" si="4">R11/K$11</f>
        <v>0.61490937809279123</v>
      </c>
      <c r="S30" s="26">
        <f t="shared" ref="S30:S42" si="5">S11/L$11</f>
        <v>0.44035914878601046</v>
      </c>
      <c r="T30" s="26">
        <f t="shared" ref="T30:T42" si="6">T11/M$11</f>
        <v>0.38722438046582586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3.9398427583437506E-2</v>
      </c>
      <c r="C31" s="24">
        <f t="shared" si="0"/>
        <v>2.0510226789941129E-2</v>
      </c>
      <c r="D31" s="24">
        <f t="shared" si="0"/>
        <v>1.7806964922804914E-2</v>
      </c>
      <c r="E31" s="24">
        <f t="shared" si="0"/>
        <v>2.3683988329221042E-2</v>
      </c>
      <c r="F31" s="24">
        <f t="shared" si="0"/>
        <v>1.9696942473951654E-2</v>
      </c>
      <c r="G31" s="6"/>
      <c r="H31" s="25" t="s">
        <v>10</v>
      </c>
      <c r="I31" s="24">
        <f t="shared" si="1"/>
        <v>0.72905177544138067</v>
      </c>
      <c r="J31" s="24">
        <f t="shared" si="1"/>
        <v>0.6696313408412744</v>
      </c>
      <c r="K31" s="24">
        <f t="shared" si="1"/>
        <v>0.63281382771340888</v>
      </c>
      <c r="L31" s="24">
        <f t="shared" si="1"/>
        <v>0.63542085297836681</v>
      </c>
      <c r="M31" s="24">
        <f t="shared" si="1"/>
        <v>0.62895357706703559</v>
      </c>
      <c r="N31" s="6"/>
      <c r="O31" s="25" t="s">
        <v>11</v>
      </c>
      <c r="P31" s="26">
        <f t="shared" si="2"/>
        <v>0.21469946439198573</v>
      </c>
      <c r="Q31" s="26">
        <f t="shared" si="3"/>
        <v>9.8382904995668499E-2</v>
      </c>
      <c r="R31" s="26">
        <f t="shared" si="4"/>
        <v>8.3903989763173412E-2</v>
      </c>
      <c r="S31" s="26">
        <f t="shared" si="5"/>
        <v>0.10766621903763024</v>
      </c>
      <c r="T31" s="26">
        <f t="shared" si="6"/>
        <v>0.11038085608358611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0.38704771020448014</v>
      </c>
      <c r="C32" s="24">
        <f t="shared" si="0"/>
        <v>0.34194501203746791</v>
      </c>
      <c r="D32" s="24">
        <f t="shared" si="0"/>
        <v>0.31890990223008031</v>
      </c>
      <c r="E32" s="24">
        <f t="shared" si="0"/>
        <v>0.48923611436863024</v>
      </c>
      <c r="F32" s="24">
        <f t="shared" si="0"/>
        <v>0.56161521788486946</v>
      </c>
      <c r="G32" s="6"/>
      <c r="H32" s="25" t="s">
        <v>13</v>
      </c>
      <c r="I32" s="24">
        <f t="shared" si="1"/>
        <v>0.27094822455861933</v>
      </c>
      <c r="J32" s="24">
        <f t="shared" si="1"/>
        <v>0.3303686591587256</v>
      </c>
      <c r="K32" s="24">
        <f t="shared" si="1"/>
        <v>0.36718617228659117</v>
      </c>
      <c r="L32" s="24">
        <f t="shared" si="1"/>
        <v>0.36457914702163324</v>
      </c>
      <c r="M32" s="24">
        <f t="shared" si="1"/>
        <v>0.37104642293296436</v>
      </c>
      <c r="N32" s="6"/>
      <c r="O32" s="25" t="s">
        <v>14</v>
      </c>
      <c r="P32" s="26">
        <f t="shared" si="2"/>
        <v>-1.6653441777425115E-2</v>
      </c>
      <c r="Q32" s="26">
        <f t="shared" si="3"/>
        <v>-5.4952353450765233E-2</v>
      </c>
      <c r="R32" s="26">
        <f t="shared" si="4"/>
        <v>2.5532085053633375E-2</v>
      </c>
      <c r="S32" s="26">
        <f t="shared" si="5"/>
        <v>4.5716974289103013E-2</v>
      </c>
      <c r="T32" s="26">
        <f t="shared" si="6"/>
        <v>-4.0081244567434768E-2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0.44197364820170498</v>
      </c>
      <c r="C33" s="24">
        <f t="shared" si="0"/>
        <v>0.38560089556063581</v>
      </c>
      <c r="D33" s="24">
        <f t="shared" si="0"/>
        <v>0.31312027068270554</v>
      </c>
      <c r="E33" s="24">
        <f t="shared" si="0"/>
        <v>0.17901761562108121</v>
      </c>
      <c r="F33" s="24">
        <f t="shared" si="0"/>
        <v>7.9047477487925233E-2</v>
      </c>
      <c r="G33" s="6"/>
      <c r="H33" s="25" t="s">
        <v>16</v>
      </c>
      <c r="I33" s="24">
        <f t="shared" si="1"/>
        <v>0.22601666336044435</v>
      </c>
      <c r="J33" s="24">
        <f t="shared" si="1"/>
        <v>0.28408894022523823</v>
      </c>
      <c r="K33" s="24">
        <f t="shared" si="1"/>
        <v>0.4388339614719437</v>
      </c>
      <c r="L33" s="24">
        <f t="shared" si="1"/>
        <v>0.24578754937805702</v>
      </c>
      <c r="M33" s="24">
        <f t="shared" si="1"/>
        <v>0.22452237773402162</v>
      </c>
      <c r="N33" s="6"/>
      <c r="O33" s="25" t="s">
        <v>9</v>
      </c>
      <c r="P33" s="26">
        <f t="shared" si="2"/>
        <v>-0.13332672088871256</v>
      </c>
      <c r="Q33" s="26">
        <f t="shared" si="3"/>
        <v>-1.6084319953797284E-2</v>
      </c>
      <c r="R33" s="26">
        <f t="shared" si="4"/>
        <v>1.6105007447691215E-2</v>
      </c>
      <c r="S33" s="26">
        <f t="shared" si="5"/>
        <v>-3.0268871484723434E-2</v>
      </c>
      <c r="T33" s="26">
        <f t="shared" si="6"/>
        <v>5.6498678445355043E-3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>
        <f t="shared" si="0"/>
        <v>6.7195572919889812E-2</v>
      </c>
      <c r="C34" s="24">
        <f t="shared" si="0"/>
        <v>0.11320479880232252</v>
      </c>
      <c r="D34" s="24">
        <f t="shared" si="0"/>
        <v>0.1399562192824593</v>
      </c>
      <c r="E34" s="24">
        <f t="shared" si="0"/>
        <v>0.14948103811141028</v>
      </c>
      <c r="F34" s="24">
        <f t="shared" si="0"/>
        <v>0.1829811491489268</v>
      </c>
      <c r="G34" s="6"/>
      <c r="H34" s="25" t="s">
        <v>18</v>
      </c>
      <c r="I34" s="24">
        <f t="shared" si="1"/>
        <v>0.49696488791906368</v>
      </c>
      <c r="J34" s="24">
        <f t="shared" si="1"/>
        <v>0.61445759938396383</v>
      </c>
      <c r="K34" s="24">
        <f t="shared" si="1"/>
        <v>0.80602013375853487</v>
      </c>
      <c r="L34" s="24">
        <f t="shared" si="1"/>
        <v>0.61036669639969021</v>
      </c>
      <c r="M34" s="24">
        <f t="shared" si="1"/>
        <v>0.59556880066698592</v>
      </c>
      <c r="N34" s="6"/>
      <c r="O34" s="25" t="s">
        <v>19</v>
      </c>
      <c r="P34" s="26">
        <f t="shared" si="2"/>
        <v>-2.56695100178536E-2</v>
      </c>
      <c r="Q34" s="26">
        <f t="shared" si="3"/>
        <v>-9.5389354124554813E-3</v>
      </c>
      <c r="R34" s="26">
        <f t="shared" si="4"/>
        <v>1.0656696424108526E-2</v>
      </c>
      <c r="S34" s="26">
        <f t="shared" si="5"/>
        <v>-1.5154039933737833E-2</v>
      </c>
      <c r="T34" s="26">
        <f t="shared" si="6"/>
        <v>2.660848278431164E-5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0.13928783971434239</v>
      </c>
      <c r="J35" s="24">
        <f t="shared" si="1"/>
        <v>0.13452690345557802</v>
      </c>
      <c r="K35" s="24">
        <f t="shared" si="1"/>
        <v>0.1237316431906109</v>
      </c>
      <c r="L35" s="24">
        <f t="shared" si="1"/>
        <v>0.12336917632989933</v>
      </c>
      <c r="M35" s="24">
        <f t="shared" si="1"/>
        <v>0.11086867826796516</v>
      </c>
      <c r="N35" s="6"/>
      <c r="O35" s="25" t="s">
        <v>22</v>
      </c>
      <c r="P35" s="26">
        <f t="shared" si="2"/>
        <v>-3.4685578258282085E-2</v>
      </c>
      <c r="Q35" s="26">
        <f t="shared" si="3"/>
        <v>-4.5875445182404467E-2</v>
      </c>
      <c r="R35" s="26">
        <f t="shared" si="4"/>
        <v>5.5962651578010815E-2</v>
      </c>
      <c r="S35" s="26">
        <f t="shared" si="5"/>
        <v>3.1650966976739629E-2</v>
      </c>
      <c r="T35" s="26">
        <f t="shared" si="6"/>
        <v>6.11108154613024E-3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7.9346939673607356E-2</v>
      </c>
      <c r="C36" s="24">
        <f t="shared" si="0"/>
        <v>7.5291832729774022E-2</v>
      </c>
      <c r="D36" s="24">
        <f t="shared" si="0"/>
        <v>6.0485271366779274E-2</v>
      </c>
      <c r="E36" s="24">
        <f t="shared" si="0"/>
        <v>5.8948066284520581E-2</v>
      </c>
      <c r="F36" s="24">
        <f t="shared" si="0"/>
        <v>6.1818573829641621E-2</v>
      </c>
      <c r="G36" s="6"/>
      <c r="H36" s="25" t="s">
        <v>11</v>
      </c>
      <c r="I36" s="24">
        <f t="shared" si="1"/>
        <v>0</v>
      </c>
      <c r="J36" s="24">
        <f t="shared" si="1"/>
        <v>0</v>
      </c>
      <c r="K36" s="24">
        <f t="shared" si="1"/>
        <v>0</v>
      </c>
      <c r="L36" s="24">
        <f t="shared" si="1"/>
        <v>0</v>
      </c>
      <c r="M36" s="24">
        <f t="shared" si="1"/>
        <v>0</v>
      </c>
      <c r="N36" s="6"/>
      <c r="O36" s="25" t="s">
        <v>24</v>
      </c>
      <c r="P36" s="26">
        <f t="shared" si="2"/>
        <v>-0.12832771275540567</v>
      </c>
      <c r="Q36" s="26">
        <f t="shared" si="3"/>
        <v>-0.22844354605833092</v>
      </c>
      <c r="R36" s="26">
        <f t="shared" si="4"/>
        <v>-0.29779768271835733</v>
      </c>
      <c r="S36" s="26">
        <f t="shared" si="5"/>
        <v>-0.15378507924994364</v>
      </c>
      <c r="T36" s="26">
        <f t="shared" si="6"/>
        <v>-0.11686445638869672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0.12842960499806783</v>
      </c>
      <c r="C37" s="24">
        <f t="shared" si="0"/>
        <v>0.12641566691618281</v>
      </c>
      <c r="D37" s="24">
        <f t="shared" si="0"/>
        <v>0.112605110556836</v>
      </c>
      <c r="E37" s="24">
        <f t="shared" si="0"/>
        <v>1.5088828637814949E-3</v>
      </c>
      <c r="F37" s="24">
        <f t="shared" si="0"/>
        <v>0</v>
      </c>
      <c r="G37" s="6"/>
      <c r="H37" s="25" t="s">
        <v>26</v>
      </c>
      <c r="I37" s="24">
        <f t="shared" si="1"/>
        <v>0.10820273755207301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4.5544853032480091E-2</v>
      </c>
      <c r="N37" s="6"/>
      <c r="O37" s="25" t="s">
        <v>27</v>
      </c>
      <c r="P37" s="26">
        <f t="shared" si="2"/>
        <v>-0.56668319777821863</v>
      </c>
      <c r="Q37" s="26">
        <f t="shared" si="3"/>
        <v>-0.55925498123014727</v>
      </c>
      <c r="R37" s="26">
        <f t="shared" si="4"/>
        <v>-1.3188111685377533</v>
      </c>
      <c r="S37" s="26">
        <f t="shared" si="5"/>
        <v>-0.76770993638439899</v>
      </c>
      <c r="T37" s="26">
        <f t="shared" si="6"/>
        <v>-2.9269331062742803E-2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>
        <f t="shared" si="0"/>
        <v>1.8973789848465469E-2</v>
      </c>
      <c r="C38" s="24">
        <f t="shared" si="0"/>
        <v>1.6941471605737522E-2</v>
      </c>
      <c r="D38" s="24">
        <f t="shared" si="0"/>
        <v>1.5474536671613045E-2</v>
      </c>
      <c r="E38" s="24">
        <f t="shared" si="0"/>
        <v>1.5967576999934327E-2</v>
      </c>
      <c r="F38" s="24">
        <f t="shared" si="0"/>
        <v>1.64073129737826E-2</v>
      </c>
      <c r="G38" s="6"/>
      <c r="H38" s="25" t="s">
        <v>29</v>
      </c>
      <c r="I38" s="24">
        <f t="shared" si="1"/>
        <v>0.24749057726641541</v>
      </c>
      <c r="J38" s="24">
        <f t="shared" si="1"/>
        <v>0.13452690345557802</v>
      </c>
      <c r="K38" s="24">
        <f t="shared" si="1"/>
        <v>0.1237316431906109</v>
      </c>
      <c r="L38" s="24">
        <f t="shared" si="1"/>
        <v>0.12336917632989933</v>
      </c>
      <c r="M38" s="24">
        <f t="shared" si="1"/>
        <v>0.15641353130044525</v>
      </c>
      <c r="N38" s="6"/>
      <c r="O38" s="25" t="s">
        <v>30</v>
      </c>
      <c r="P38" s="26">
        <f t="shared" si="2"/>
        <v>0.30313429875024794</v>
      </c>
      <c r="Q38" s="26">
        <f t="shared" si="3"/>
        <v>0.2625565501973241</v>
      </c>
      <c r="R38" s="26">
        <f t="shared" si="4"/>
        <v>0.96574062040767361</v>
      </c>
      <c r="S38" s="26">
        <f t="shared" si="5"/>
        <v>0.83298209157117786</v>
      </c>
      <c r="T38" s="26">
        <f t="shared" si="6"/>
        <v>0.21316055558512054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0.77324966547985929</v>
      </c>
      <c r="C39" s="24">
        <f t="shared" si="0"/>
        <v>0.78135102874830564</v>
      </c>
      <c r="D39" s="24">
        <f t="shared" si="0"/>
        <v>0.81143508140477172</v>
      </c>
      <c r="E39" s="24">
        <f t="shared" si="0"/>
        <v>0.92357547385176364</v>
      </c>
      <c r="F39" s="24">
        <f t="shared" si="0"/>
        <v>0.92177411319657576</v>
      </c>
      <c r="G39" s="6"/>
      <c r="H39" s="25" t="s">
        <v>32</v>
      </c>
      <c r="I39" s="24">
        <f t="shared" si="1"/>
        <v>0.24947431065264827</v>
      </c>
      <c r="J39" s="24">
        <f t="shared" si="1"/>
        <v>0.47993069592838578</v>
      </c>
      <c r="K39" s="24">
        <f t="shared" si="1"/>
        <v>0.68228849056792396</v>
      </c>
      <c r="L39" s="24">
        <f t="shared" si="1"/>
        <v>0.48699752006979091</v>
      </c>
      <c r="M39" s="24">
        <f t="shared" si="1"/>
        <v>0.4391552693665407</v>
      </c>
      <c r="N39" s="6"/>
      <c r="O39" s="25" t="s">
        <v>33</v>
      </c>
      <c r="P39" s="26">
        <f t="shared" si="2"/>
        <v>-4.1995635786550287E-2</v>
      </c>
      <c r="Q39" s="26">
        <f t="shared" si="3"/>
        <v>0.30019251131003949</v>
      </c>
      <c r="R39" s="26">
        <f t="shared" si="4"/>
        <v>0.85412522118143375</v>
      </c>
      <c r="S39" s="26">
        <f t="shared" si="5"/>
        <v>-2.185867338436958E-2</v>
      </c>
      <c r="T39" s="26">
        <f t="shared" si="6"/>
        <v>-7.805154950064748E-2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24">
        <f t="shared" si="0"/>
        <v>0</v>
      </c>
      <c r="G40" s="6"/>
      <c r="H40" s="25" t="s">
        <v>35</v>
      </c>
      <c r="I40" s="24">
        <f t="shared" ref="I40:M49" si="7">I21/I$11</f>
        <v>3.0708192818885142E-2</v>
      </c>
      <c r="J40" s="24">
        <f t="shared" si="7"/>
        <v>4.5750312830878812E-2</v>
      </c>
      <c r="K40" s="24">
        <f t="shared" si="7"/>
        <v>6.7379112475132702E-2</v>
      </c>
      <c r="L40" s="24">
        <f t="shared" si="7"/>
        <v>4.6638371283780469E-2</v>
      </c>
      <c r="M40" s="24">
        <f t="shared" si="7"/>
        <v>5.1930888900714879E-2</v>
      </c>
      <c r="N40" s="6"/>
      <c r="O40" s="25" t="s">
        <v>36</v>
      </c>
      <c r="P40" s="26">
        <f t="shared" si="2"/>
        <v>-0.38750247966673279</v>
      </c>
      <c r="Q40" s="26">
        <f t="shared" si="3"/>
        <v>-0.79357012224468193</v>
      </c>
      <c r="R40" s="26">
        <f t="shared" si="4"/>
        <v>-0.39061890813847705</v>
      </c>
      <c r="S40" s="26">
        <f t="shared" si="5"/>
        <v>-0.38503612072261051</v>
      </c>
      <c r="T40" s="26">
        <f t="shared" si="6"/>
        <v>-0.60929877778369079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0.21876611783376315</v>
      </c>
      <c r="J41" s="24">
        <f t="shared" si="7"/>
        <v>0.43418038309750701</v>
      </c>
      <c r="K41" s="24">
        <f t="shared" si="7"/>
        <v>0.61490937809279123</v>
      </c>
      <c r="L41" s="24">
        <f t="shared" si="7"/>
        <v>0.44035914878601046</v>
      </c>
      <c r="M41" s="24">
        <f t="shared" si="7"/>
        <v>0.38722438046582586</v>
      </c>
      <c r="N41" s="6"/>
      <c r="O41" s="25" t="s">
        <v>38</v>
      </c>
      <c r="P41" s="26">
        <f t="shared" si="2"/>
        <v>0.81713945645705222</v>
      </c>
      <c r="Q41" s="26">
        <f t="shared" si="3"/>
        <v>1.405399942246607</v>
      </c>
      <c r="R41" s="26">
        <f t="shared" si="4"/>
        <v>0.83990962801531521</v>
      </c>
      <c r="S41" s="26">
        <f t="shared" si="5"/>
        <v>0.73897999392270064</v>
      </c>
      <c r="T41" s="26">
        <f t="shared" si="6"/>
        <v>0.81968318166498144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1.8979865106129736</v>
      </c>
      <c r="J42" s="24">
        <f t="shared" si="7"/>
        <v>2.2462123399749734</v>
      </c>
      <c r="K42" s="24">
        <f t="shared" si="7"/>
        <v>2.1703271985684438</v>
      </c>
      <c r="L42" s="24">
        <f t="shared" si="7"/>
        <v>2.1149785824209215</v>
      </c>
      <c r="M42" s="24">
        <f t="shared" si="7"/>
        <v>2.1781260532524436</v>
      </c>
      <c r="N42" s="6"/>
      <c r="O42" s="25" t="s">
        <v>40</v>
      </c>
      <c r="P42" s="26">
        <f t="shared" si="2"/>
        <v>0.21889506050386828</v>
      </c>
      <c r="Q42" s="26">
        <f t="shared" si="3"/>
        <v>0.79299258831456343</v>
      </c>
      <c r="R42" s="26">
        <f t="shared" si="4"/>
        <v>1.4596175185692435</v>
      </c>
      <c r="S42" s="26">
        <f t="shared" si="5"/>
        <v>0.82354267342357801</v>
      </c>
      <c r="T42" s="26">
        <f t="shared" si="6"/>
        <v>0.66867117236975149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2.1870660583217617E-2</v>
      </c>
      <c r="J43" s="24">
        <f t="shared" si="7"/>
        <v>4.3420925979401288E-2</v>
      </c>
      <c r="K43" s="24">
        <f t="shared" si="7"/>
        <v>6.1490937809279125E-2</v>
      </c>
      <c r="L43" s="24">
        <f t="shared" si="7"/>
        <v>4.4040815926445077E-2</v>
      </c>
      <c r="M43" s="24">
        <f t="shared" si="7"/>
        <v>3.8715342451173432E-2</v>
      </c>
      <c r="N43" s="6"/>
      <c r="O43" s="2" t="s">
        <v>49</v>
      </c>
      <c r="P43" s="26">
        <f>P24/I11</f>
        <v>9.4802618528069829E-2</v>
      </c>
      <c r="Q43" s="26">
        <f>Q24/J11</f>
        <v>0.17766868803542207</v>
      </c>
      <c r="R43" s="26">
        <f>R24/K11</f>
        <v>0.50927212564105129</v>
      </c>
      <c r="S43" s="26">
        <f>S24/L11</f>
        <v>0.42618531842107843</v>
      </c>
      <c r="T43" s="26">
        <f>T24/M11</f>
        <v>0.35244709346673053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0.37195000991866695</v>
      </c>
      <c r="J44" s="24">
        <f t="shared" si="7"/>
        <v>0.77967080565983249</v>
      </c>
      <c r="K44" s="24">
        <f t="shared" si="7"/>
        <v>0.37488378602633182</v>
      </c>
      <c r="L44" s="24">
        <f t="shared" si="7"/>
        <v>0.36757858830217899</v>
      </c>
      <c r="M44" s="24">
        <f t="shared" si="7"/>
        <v>0.59869086264701188</v>
      </c>
      <c r="N44" s="6"/>
      <c r="O44" s="2" t="s">
        <v>50</v>
      </c>
      <c r="P44" s="26">
        <f>P24/B16</f>
        <v>1.3144269288369426E-2</v>
      </c>
      <c r="Q44" s="26">
        <f>Q24/C16</f>
        <v>2.4894967191999299E-2</v>
      </c>
      <c r="R44" s="26">
        <f>R24/D16</f>
        <v>6.7016859785937549E-2</v>
      </c>
      <c r="S44" s="26">
        <f>S24/E16</f>
        <v>6.7984163766171626E-2</v>
      </c>
      <c r="T44" s="26">
        <f>T24/F16</f>
        <v>6.4905664075579808E-2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1.5869867089863123E-2</v>
      </c>
      <c r="J45" s="24">
        <f t="shared" si="7"/>
        <v>1.5400904803157185E-2</v>
      </c>
      <c r="K45" s="24">
        <f t="shared" si="7"/>
        <v>1.5995041537123493E-2</v>
      </c>
      <c r="L45" s="24">
        <f t="shared" si="7"/>
        <v>1.5683353100892972E-2</v>
      </c>
      <c r="M45" s="24">
        <f t="shared" si="7"/>
        <v>1.419119081829954E-2</v>
      </c>
      <c r="N45" s="6"/>
      <c r="O45" s="2" t="s">
        <v>51</v>
      </c>
      <c r="P45" s="26">
        <f>P24/B20</f>
        <v>1.6998739055661179E-2</v>
      </c>
      <c r="Q45" s="26">
        <f>Q24/C20</f>
        <v>3.186143778665023E-2</v>
      </c>
      <c r="R45" s="26">
        <f>R24/D20</f>
        <v>8.2590537828259411E-2</v>
      </c>
      <c r="S45" s="26">
        <f>S24/E20</f>
        <v>7.3609754363272828E-2</v>
      </c>
      <c r="T45" s="26">
        <f>T24/F20</f>
        <v>7.0413849929563108E-2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1.7070620908549892</v>
      </c>
      <c r="J46" s="24">
        <f t="shared" si="7"/>
        <v>1.8419000866300894</v>
      </c>
      <c r="K46" s="24">
        <f t="shared" si="7"/>
        <v>2.3328668112885005</v>
      </c>
      <c r="L46" s="24">
        <f t="shared" si="7"/>
        <v>2.1280349738774151</v>
      </c>
      <c r="M46" s="24">
        <f t="shared" si="7"/>
        <v>1.9137530378017846</v>
      </c>
      <c r="N46" s="6"/>
      <c r="O46" s="2" t="s">
        <v>52</v>
      </c>
      <c r="P46" s="26">
        <f>P24/I22</f>
        <v>0.43335146898803045</v>
      </c>
      <c r="Q46" s="26">
        <f>Q24/J22</f>
        <v>0.40920477974593744</v>
      </c>
      <c r="R46" s="26">
        <f>R24/K22</f>
        <v>0.82820679564298483</v>
      </c>
      <c r="S46" s="26">
        <f>S24/L22</f>
        <v>0.96781302170283812</v>
      </c>
      <c r="T46" s="26">
        <f>T24/M22</f>
        <v>0.91018828164368504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5.796802600616191E-2</v>
      </c>
      <c r="Q47" s="26">
        <f>Q24/(C22-C20)</f>
        <v>0.11385814920364681</v>
      </c>
      <c r="R47" s="26">
        <f>R24/(D22-D20)</f>
        <v>0.35540470775370103</v>
      </c>
      <c r="S47" s="26">
        <f>S24/(E22-E20)</f>
        <v>0.8895595065163574</v>
      </c>
      <c r="T47" s="26">
        <f>T24/(F22-F20)</f>
        <v>0.82972103900442662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>
        <f>P24/I25</f>
        <v>0.25488</v>
      </c>
      <c r="Q48" s="26">
        <f>Q24/J25</f>
        <v>0.22787654320987655</v>
      </c>
      <c r="R48" s="26">
        <f>R24/K25</f>
        <v>1.3584799999999999</v>
      </c>
      <c r="S48" s="26">
        <f>S24/L25</f>
        <v>1.15944</v>
      </c>
      <c r="T48" s="26">
        <f>T24/M25</f>
        <v>0.58869629629629627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0.16729385819053788</v>
      </c>
      <c r="Q49" s="26">
        <f>Q24/(Q18*-1)</f>
        <v>0.31768816371491027</v>
      </c>
      <c r="R49" s="26">
        <f>R24/(R18*-1)</f>
        <v>0.38616000363851366</v>
      </c>
      <c r="S49" s="26">
        <f>S24/(S18*-1)</f>
        <v>0.55513846860995131</v>
      </c>
      <c r="T49" s="26">
        <f>T24/(T18*-1)</f>
        <v>12.041515151515151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-0.22827732897029493</v>
      </c>
      <c r="J50" s="28">
        <f>LN(J13/K13)</f>
        <v>-6.7807311851464561E-2</v>
      </c>
      <c r="K50" s="28">
        <f>LN(K13/L13)</f>
        <v>-1.2553598116261394E-2</v>
      </c>
      <c r="L50" s="28">
        <f>LN(L13/M13)</f>
        <v>-0.11756194808389088</v>
      </c>
      <c r="O50" s="2"/>
      <c r="P50" s="12"/>
      <c r="Q50" s="12"/>
      <c r="R50" s="12"/>
    </row>
    <row r="51" spans="1:29">
      <c r="A51" s="29" t="s">
        <v>57</v>
      </c>
      <c r="B51" s="30">
        <f>B23/B17</f>
        <v>1.3079656140594127</v>
      </c>
      <c r="C51" s="30">
        <f>C23/C17</f>
        <v>2.1150938664373746</v>
      </c>
      <c r="D51" s="30">
        <f>D23/D17</f>
        <v>3.7697377006394364</v>
      </c>
      <c r="E51" s="30">
        <f>E23/E17</f>
        <v>3.0919628647214856</v>
      </c>
      <c r="F51" s="30">
        <f>F23/F17</f>
        <v>2.8528020714984015</v>
      </c>
      <c r="H51" s="29" t="s">
        <v>58</v>
      </c>
      <c r="I51" s="63">
        <f>I13/I11</f>
        <v>0.27094822455861933</v>
      </c>
      <c r="J51" s="63">
        <f>J13/J11</f>
        <v>0.3303686591587256</v>
      </c>
      <c r="K51" s="63">
        <f>K13/K11</f>
        <v>0.36718617228659117</v>
      </c>
      <c r="L51" s="63">
        <f>L13/L11</f>
        <v>0.36457914702163324</v>
      </c>
      <c r="M51" s="63">
        <f>M13/M11</f>
        <v>0.37104642293296436</v>
      </c>
      <c r="O51" s="2" t="s">
        <v>59</v>
      </c>
      <c r="P51" s="32">
        <f>(P11-P24-P25)/B16</f>
        <v>5.372812898381514E-2</v>
      </c>
      <c r="Q51" s="32">
        <f>(Q11-Q24-Q25)/C16</f>
        <v>7.7515898224389188E-2</v>
      </c>
      <c r="R51" s="32">
        <f>(R11-R24-R25)/D16</f>
        <v>6.0362927414517098E-2</v>
      </c>
      <c r="S51" s="32">
        <f>(S11-S24-S25)/E16</f>
        <v>-8.1510946827906047E-3</v>
      </c>
      <c r="T51" s="32">
        <f>(T11-T24-T25)/F16</f>
        <v>-2.7460402759107324E-2</v>
      </c>
    </row>
    <row r="52" spans="1:29">
      <c r="A52" s="29" t="s">
        <v>60</v>
      </c>
      <c r="B52" s="49">
        <f>I20/B16</f>
        <v>3.4589313783329967E-2</v>
      </c>
      <c r="C52" s="49">
        <f>J20/C16</f>
        <v>6.7247971838394469E-2</v>
      </c>
      <c r="D52" s="49">
        <f>K20/D16</f>
        <v>8.9784674644018569E-2</v>
      </c>
      <c r="E52" s="49">
        <f>L20/E16</f>
        <v>7.768479515156064E-2</v>
      </c>
      <c r="F52" s="49">
        <f>M20/F16</f>
        <v>8.0873597538168029E-2</v>
      </c>
      <c r="G52" s="31"/>
      <c r="H52" s="29" t="s">
        <v>61</v>
      </c>
      <c r="I52" s="63">
        <f>I16/I11</f>
        <v>0.13928783971434239</v>
      </c>
      <c r="J52" s="63">
        <f>J16/J11</f>
        <v>0.13452690345557802</v>
      </c>
      <c r="K52" s="63">
        <f>K16/K11</f>
        <v>0.1237316431906109</v>
      </c>
      <c r="L52" s="63">
        <f>L16/L11</f>
        <v>0.12336917632989933</v>
      </c>
      <c r="M52" s="63">
        <f>M16/M11</f>
        <v>0.11086867826796516</v>
      </c>
      <c r="O52" s="6"/>
    </row>
    <row r="53" spans="1:29">
      <c r="A53" s="29" t="s">
        <v>62</v>
      </c>
      <c r="B53" s="49">
        <f>I20/B20</f>
        <v>4.473240057836262E-2</v>
      </c>
      <c r="C53" s="49">
        <f>J20/C20</f>
        <v>8.6066274138172097E-2</v>
      </c>
      <c r="D53" s="49">
        <f>K20/D20</f>
        <v>0.11064923947900016</v>
      </c>
      <c r="E53" s="49">
        <f>L20/E20</f>
        <v>8.411309887602024E-2</v>
      </c>
      <c r="F53" s="49">
        <f>M20/F20</f>
        <v>8.7736893866231944E-2</v>
      </c>
      <c r="H53" s="29" t="s">
        <v>11</v>
      </c>
      <c r="I53" s="71"/>
      <c r="J53" s="71"/>
      <c r="K53" s="71"/>
      <c r="L53" s="71"/>
      <c r="M53" s="71"/>
      <c r="O53" s="6"/>
    </row>
    <row r="54" spans="1:29">
      <c r="A54" s="29" t="s">
        <v>63</v>
      </c>
      <c r="B54" s="30">
        <f>I11/B12</f>
        <v>3.5191455199134349</v>
      </c>
      <c r="C54" s="30">
        <f>J11/C12</f>
        <v>6.831722233182087</v>
      </c>
      <c r="D54" s="30">
        <f>K11/D12</f>
        <v>7.3899970449172576</v>
      </c>
      <c r="E54" s="30">
        <f>L11/E12</f>
        <v>6.7352611078101274</v>
      </c>
      <c r="F54" s="30">
        <f>M11/F12</f>
        <v>9.3495314702711667</v>
      </c>
      <c r="H54" s="29" t="s">
        <v>64</v>
      </c>
      <c r="I54" s="63">
        <f>I25/I22</f>
        <v>1.7002176278563657</v>
      </c>
      <c r="J54" s="63">
        <f>J25/J22</f>
        <v>1.7957301527479106</v>
      </c>
      <c r="K54" s="63">
        <f>K25/K22</f>
        <v>0.60965696634693545</v>
      </c>
      <c r="L54" s="63">
        <f>L25/L22</f>
        <v>0.8347245409015025</v>
      </c>
      <c r="M54" s="63">
        <f>M25/M22</f>
        <v>1.5461083879243209</v>
      </c>
      <c r="O54" s="6"/>
    </row>
    <row r="55" spans="1:29">
      <c r="A55" s="29" t="s">
        <v>65</v>
      </c>
      <c r="B55" s="31">
        <f>(B22-B20)/B16</f>
        <v>0.22675033452014065</v>
      </c>
      <c r="C55" s="31">
        <f>(C22-C20)/C16</f>
        <v>0.21864897125169436</v>
      </c>
      <c r="D55" s="31">
        <f>(D22-D20)/D16</f>
        <v>0.18856491859522831</v>
      </c>
      <c r="E55" s="31">
        <f>(E22-E20)/E16</f>
        <v>7.6424526148236402E-2</v>
      </c>
      <c r="F55" s="31">
        <f>(F22-F20)/F16</f>
        <v>7.8225886803424224E-2</v>
      </c>
      <c r="H55" s="29" t="s">
        <v>66</v>
      </c>
      <c r="I55" s="63">
        <f>I22/I11</f>
        <v>0.21876611783376315</v>
      </c>
      <c r="J55" s="63">
        <f>J22/J11</f>
        <v>0.43418038309750701</v>
      </c>
      <c r="K55" s="63">
        <f>K22/K11</f>
        <v>0.61490937809279123</v>
      </c>
      <c r="L55" s="63">
        <f>L22/L11</f>
        <v>0.44035914878601046</v>
      </c>
      <c r="M55" s="63">
        <f>M22/M11</f>
        <v>0.38722438046582586</v>
      </c>
      <c r="N55" s="31"/>
      <c r="O55" s="6"/>
    </row>
    <row r="56" spans="1:29">
      <c r="A56" s="29" t="s">
        <v>67</v>
      </c>
      <c r="B56" s="31">
        <f>(B22-B20)/B20</f>
        <v>0.29324336581435839</v>
      </c>
      <c r="C56" s="31">
        <f>(C22-C20)/C20</f>
        <v>0.2798344959012361</v>
      </c>
      <c r="D56" s="31">
        <f>(D22-D20)/D20</f>
        <v>0.23238447895151537</v>
      </c>
      <c r="E56" s="31">
        <f>(E22-E20)/E20</f>
        <v>8.2748544447059189E-2</v>
      </c>
      <c r="F56" s="31">
        <f>(F22-F20)/F20</f>
        <v>8.4864486519531837E-2</v>
      </c>
      <c r="H56" s="33" t="s">
        <v>68</v>
      </c>
      <c r="I56" s="34">
        <f>I13/B16</f>
        <v>3.7566646176018792E-2</v>
      </c>
      <c r="J56" s="34">
        <f>J13/C16</f>
        <v>4.6291313466453564E-2</v>
      </c>
      <c r="K56" s="34">
        <f>K13/D16</f>
        <v>4.8319283511718707E-2</v>
      </c>
      <c r="L56" s="34">
        <f>L13/E16</f>
        <v>5.815688003677609E-2</v>
      </c>
      <c r="M56" s="34">
        <f>M13/F16</f>
        <v>6.8330864205596947E-2</v>
      </c>
      <c r="O56" s="6"/>
    </row>
    <row r="57" spans="1:29">
      <c r="A57" s="29" t="s">
        <v>69</v>
      </c>
      <c r="B57" s="30">
        <f>I11/B16</f>
        <v>0.138648799921888</v>
      </c>
      <c r="C57" s="30">
        <f>J11/C16</f>
        <v>0.14012017236844768</v>
      </c>
      <c r="D57" s="30">
        <f>K11/D16</f>
        <v>0.13159341815847356</v>
      </c>
      <c r="E57" s="30">
        <f>L11/E16</f>
        <v>0.15951784547163145</v>
      </c>
      <c r="F57" s="30">
        <f>M11/F16</f>
        <v>0.18415718352833182</v>
      </c>
      <c r="H57" s="33" t="s">
        <v>70</v>
      </c>
      <c r="I57" s="35">
        <f ca="1">I25/$C$5</f>
        <v>54.640827626402455</v>
      </c>
      <c r="J57" s="35">
        <f ca="1">J25/$C$5</f>
        <v>118.02418767302929</v>
      </c>
      <c r="K57" s="35">
        <f ca="1">K25/$C$5</f>
        <v>54.640827626402455</v>
      </c>
      <c r="L57" s="35">
        <f ca="1">L25/$C$5</f>
        <v>54.640827626402455</v>
      </c>
      <c r="M57" s="35">
        <f ca="1">M25/$C$5</f>
        <v>98.353489727524419</v>
      </c>
      <c r="O57" s="6"/>
    </row>
    <row r="58" spans="1:29">
      <c r="A58" s="29" t="s">
        <v>71</v>
      </c>
      <c r="B58" s="30">
        <f>B16/B20</f>
        <v>1.2932433658143585</v>
      </c>
      <c r="C58" s="30">
        <f>C16/C20</f>
        <v>1.2798344959012362</v>
      </c>
      <c r="D58" s="30">
        <f>D16/D20</f>
        <v>1.2323844789515153</v>
      </c>
      <c r="E58" s="30">
        <f>E16/E20</f>
        <v>1.0827485444470593</v>
      </c>
      <c r="F58" s="30">
        <f>F16/F20</f>
        <v>1.0848644865195318</v>
      </c>
      <c r="H58" s="36" t="s">
        <v>72</v>
      </c>
      <c r="I58" s="37">
        <f ca="1">I22/$C$7/1000</f>
        <v>0.66974237206982401</v>
      </c>
      <c r="J58" s="37">
        <f ca="1">J22/$C$7/1000</f>
        <v>1.3696984574244448</v>
      </c>
      <c r="K58" s="37">
        <f ca="1">K22/$C$7/1000</f>
        <v>1.867784426279238</v>
      </c>
      <c r="L58" s="37">
        <f ca="1">L22/$C$7/1000</f>
        <v>1.3641719289643111</v>
      </c>
      <c r="M58" s="37">
        <f ca="1">M22/$C$7/1000</f>
        <v>1.3256987885303035</v>
      </c>
      <c r="O58" s="6"/>
    </row>
    <row r="59" spans="1:29">
      <c r="H59" s="36" t="s">
        <v>73</v>
      </c>
      <c r="I59" s="37">
        <f ca="1">B20/$C$7/1000</f>
        <v>17.073845291091061</v>
      </c>
      <c r="J59" s="37">
        <f ca="1">C20/$C$7/1000</f>
        <v>17.59139557172028</v>
      </c>
      <c r="K59" s="37">
        <f ca="1">D20/$C$7/1000</f>
        <v>18.729890800048803</v>
      </c>
      <c r="L59" s="37">
        <f ca="1">E20/$C$7/1000</f>
        <v>17.935983730871911</v>
      </c>
      <c r="M59" s="37">
        <f ca="1">F20/$C$7/1000</f>
        <v>17.136337574447957</v>
      </c>
      <c r="O59" s="6"/>
    </row>
    <row r="60" spans="1:29">
      <c r="H60" s="33" t="s">
        <v>74</v>
      </c>
      <c r="I60" s="38">
        <f ca="1">SQRT(22.5*I58*I59)</f>
        <v>16.040238371863172</v>
      </c>
      <c r="J60" s="38">
        <f ca="1">SQRT(22.5*J58*J59)</f>
        <v>23.283801580001725</v>
      </c>
      <c r="K60" s="38">
        <f ca="1">SQRT(22.5*K58*K59)</f>
        <v>28.055774141884651</v>
      </c>
      <c r="L60" s="38">
        <f ca="1">SQRT(22.5*L58*L59)</f>
        <v>23.463263291587573</v>
      </c>
      <c r="M60" s="38">
        <f ca="1">SQRT(22.5*M58*M59)</f>
        <v>22.608549138579626</v>
      </c>
      <c r="O60" s="6"/>
    </row>
    <row r="61" spans="1:29">
      <c r="H61" s="33" t="s">
        <v>75</v>
      </c>
      <c r="I61" s="39">
        <f ca="1">I58-(B20*0.08/1000/$C$7)</f>
        <v>-0.69616525121746087</v>
      </c>
      <c r="J61" s="39">
        <f ca="1">J58-(C20*0.08/1000/$C$7)</f>
        <v>-3.7613188313177615E-2</v>
      </c>
      <c r="K61" s="39">
        <f ca="1">K58-(D20*0.08/1000/$C$7)</f>
        <v>0.3693931622753337</v>
      </c>
      <c r="L61" s="39">
        <f ca="1">L58-(E20*0.08/1000/$C$7)</f>
        <v>-7.0706769505441969E-2</v>
      </c>
      <c r="M61" s="39">
        <f ca="1">M58-(F20*0.08/1000/$C$7)</f>
        <v>-4.520821742553327E-2</v>
      </c>
      <c r="O61" s="6"/>
    </row>
    <row r="62" spans="1:29">
      <c r="H62" s="40" t="s">
        <v>76</v>
      </c>
      <c r="I62" s="41">
        <f ca="1">I25/$C$7/1000</f>
        <v>1.1387077871154516</v>
      </c>
      <c r="J62" s="41">
        <f ca="1">J25/$C$7/1000</f>
        <v>2.4596088201693758</v>
      </c>
      <c r="K62" s="41">
        <f ca="1">K25/$C$7/1000</f>
        <v>1.1387077871154516</v>
      </c>
      <c r="L62" s="41">
        <f ca="1">L25/$C$7/1000</f>
        <v>1.1387077871154516</v>
      </c>
      <c r="M62" s="41">
        <f ca="1">M25/$C$7/1000</f>
        <v>2.0496740168078125</v>
      </c>
      <c r="O62" s="6"/>
    </row>
    <row r="63" spans="1:29">
      <c r="A63" s="2"/>
      <c r="O63" s="6"/>
    </row>
    <row r="64" spans="1:29">
      <c r="H64" s="2" t="s">
        <v>105</v>
      </c>
      <c r="I64" s="6"/>
      <c r="J64" s="6">
        <f>K51/J51</f>
        <v>1.111443722360409</v>
      </c>
      <c r="K64" s="6">
        <f>L51/K51</f>
        <v>0.99289999062676271</v>
      </c>
      <c r="L64" s="6">
        <f>M51/L51</f>
        <v>1.0177390176156931</v>
      </c>
      <c r="O64" s="6"/>
    </row>
    <row r="65" spans="8:15">
      <c r="H65" s="2" t="s">
        <v>106</v>
      </c>
      <c r="I65" s="6"/>
      <c r="J65" s="6">
        <f>J11/K11</f>
        <v>1.0385780408073497</v>
      </c>
      <c r="K65" s="6">
        <f>K11/L11</f>
        <v>0.98051343377214051</v>
      </c>
      <c r="L65" s="6">
        <f>L11/M11</f>
        <v>0.90485693505756304</v>
      </c>
      <c r="O65" s="6"/>
    </row>
    <row r="66" spans="8:15">
      <c r="H66" s="2" t="s">
        <v>107</v>
      </c>
      <c r="I66" s="6"/>
      <c r="J66" s="6">
        <f>(Q13/1948687)/(R13/1747778)</f>
        <v>-2.0048566737705631</v>
      </c>
      <c r="K66" s="6">
        <f>(R13/K11)/(S13/L11)</f>
        <v>0.55848151481274078</v>
      </c>
      <c r="L66" s="6">
        <f>(S13/L11)/(T13/M11)</f>
        <v>-1.1406076528433742</v>
      </c>
      <c r="O66" s="6"/>
    </row>
    <row r="67" spans="8:15">
      <c r="H67" s="2" t="s">
        <v>108</v>
      </c>
      <c r="I67" s="6"/>
      <c r="J67" s="6">
        <f>J52/K52</f>
        <v>1.0872473684709483</v>
      </c>
      <c r="K67" s="6">
        <f>K52/L52</f>
        <v>1.0029380666345888</v>
      </c>
      <c r="L67" s="6">
        <f>L52/M52</f>
        <v>1.1127504923592664</v>
      </c>
      <c r="O67" s="6"/>
    </row>
    <row r="68" spans="8:15">
      <c r="H68" s="2" t="s">
        <v>109</v>
      </c>
      <c r="I68" s="2"/>
      <c r="J68" s="2">
        <v>0</v>
      </c>
      <c r="K68" s="2">
        <v>0</v>
      </c>
      <c r="L68" s="2">
        <v>0</v>
      </c>
      <c r="O68" s="6"/>
    </row>
    <row r="69" spans="8:15">
      <c r="H69" s="2" t="s">
        <v>110</v>
      </c>
      <c r="I69" s="6"/>
      <c r="J69" s="6">
        <f>C58/D58</f>
        <v>1.0385026083662545</v>
      </c>
      <c r="K69" s="6">
        <f>D58/E58</f>
        <v>1.1382000791152045</v>
      </c>
      <c r="L69" s="6">
        <f>E58/F58</f>
        <v>0.99804957937257133</v>
      </c>
      <c r="O69" s="6"/>
    </row>
    <row r="70" spans="8:15">
      <c r="H70" s="2" t="s">
        <v>111</v>
      </c>
      <c r="I70" s="6"/>
      <c r="J70" s="6">
        <f>((1-C11)/C16)/((1-D11)/D16)</f>
        <v>0.66001047556253356</v>
      </c>
      <c r="K70" s="6">
        <f>((1-D11)/D16)/((1-E11)/E16)</f>
        <v>1.3255502054738533</v>
      </c>
      <c r="L70" s="6">
        <f>((1-E11)/E16)/((1-F11)/F16)</f>
        <v>1.0122694372136365</v>
      </c>
      <c r="O70" s="6"/>
    </row>
    <row r="71" spans="8:15">
      <c r="H71" s="2" t="s">
        <v>112</v>
      </c>
      <c r="I71" s="6"/>
      <c r="J71" s="6">
        <f>((J13-J16-J17)-Q24)/C16</f>
        <v>2.5464133740651573E-3</v>
      </c>
      <c r="K71" s="6">
        <f>((K13-K16-K17)-R24)/D16</f>
        <v>-3.4979846136035948E-2</v>
      </c>
      <c r="L71" s="6">
        <f>((L13-L16-L17)-S24)/E16</f>
        <v>-2.9506868935150872E-2</v>
      </c>
      <c r="M71" s="6">
        <f>((M13-M16-M17)-T24)/F16</f>
        <v>-1.6992063401320097E-2</v>
      </c>
      <c r="O71" s="6"/>
    </row>
    <row r="72" spans="8:15">
      <c r="H72" s="2" t="s">
        <v>113</v>
      </c>
      <c r="I72" s="6"/>
      <c r="J72" s="6">
        <f>-4.84 + 0.92 *J66  + 0.528 *J64 + 0.404 *J70 + 0.892 *J65 + 0.115 *J68 - 0.172 *J67- 0.327 *J69 + 4.697 *J71</f>
        <v>-5.4192064066299874</v>
      </c>
      <c r="K72" s="6">
        <f>-4.84 + 0.92 *K66  + 0.528 *K64 + 0.404 *K70 + 0.892 *K65 + 0.115 *K68 - 0.172 *K67- 0.327 *K69 + 4.697 *K71</f>
        <v>-3.1008026560179438</v>
      </c>
      <c r="L72" s="6">
        <f>-4.84 + 0.92 *L66  + 0.528 *L64 + 0.404 *L70 + 0.892 *L65 + 0.115 *L68 - 0.172 *L67- 0.327 *L69 + 4.697 *L71</f>
        <v>-4.7922526611381917</v>
      </c>
      <c r="O72" s="6"/>
    </row>
    <row r="73" spans="8:15">
      <c r="I73" s="6"/>
      <c r="J73" s="6" t="str">
        <f>IF(J72&gt;-2.22,"CARE","Good")</f>
        <v>Good</v>
      </c>
      <c r="K73" s="6" t="str">
        <f>IF(K72&gt;-2.22,"CARE","Good")</f>
        <v>Good</v>
      </c>
      <c r="L73" s="6" t="str">
        <f>IF(L72&gt;-2.22,"CARE","Good")</f>
        <v>Good</v>
      </c>
      <c r="O73" s="6"/>
    </row>
    <row r="74" spans="8:15">
      <c r="O74" s="6"/>
    </row>
    <row r="75" spans="8:15">
      <c r="O75" s="6"/>
    </row>
    <row r="76" spans="8:15">
      <c r="O76" s="6"/>
    </row>
    <row r="77" spans="8:15">
      <c r="H77" s="2" t="s">
        <v>89</v>
      </c>
      <c r="I77" s="28"/>
      <c r="J77" s="28">
        <f ca="1">(J15-J16)/$C$6</f>
        <v>6.5088834640940951E-2</v>
      </c>
      <c r="K77" s="28">
        <f ca="1">(K15-K16)/$C$6</f>
        <v>8.909572732138428E-2</v>
      </c>
      <c r="L77" s="28">
        <f ca="1">(L15-L16)/$C$6</f>
        <v>6.4857773194261323E-2</v>
      </c>
      <c r="M77" s="28">
        <f ca="1">(M15-M16)/$C$6</f>
        <v>7.1339242588410373E-2</v>
      </c>
      <c r="O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12" width="15.140625"/>
    <col min="13" max="13" width="23.140625"/>
    <col min="14" max="26" width="15.140625"/>
    <col min="27" max="1025" width="14.42578125"/>
  </cols>
  <sheetData>
    <row r="1" spans="1:17">
      <c r="A1" s="2"/>
      <c r="M1" s="6"/>
    </row>
    <row r="2" spans="1:17">
      <c r="A2" s="2"/>
      <c r="M2" s="6"/>
    </row>
    <row r="3" spans="1:17">
      <c r="A3" s="2"/>
      <c r="M3" s="6"/>
    </row>
    <row r="4" spans="1:17">
      <c r="A4" s="2"/>
      <c r="M4" s="6"/>
    </row>
    <row r="5" spans="1:17">
      <c r="A5" s="2" t="s">
        <v>0</v>
      </c>
      <c r="B5" s="70">
        <v>2067.75</v>
      </c>
      <c r="M5" s="6"/>
    </row>
    <row r="6" spans="1:17">
      <c r="A6" s="2" t="s">
        <v>1</v>
      </c>
      <c r="B6" s="4">
        <f>B5*1000+(B22-B20)-N23</f>
        <v>2368549</v>
      </c>
      <c r="M6" s="6"/>
    </row>
    <row r="7" spans="1:17">
      <c r="A7" s="2" t="s">
        <v>2</v>
      </c>
      <c r="B7" s="62">
        <v>75</v>
      </c>
      <c r="M7" s="6"/>
    </row>
    <row r="8" spans="1:17">
      <c r="M8" s="6"/>
    </row>
    <row r="9" spans="1:17"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167449</v>
      </c>
      <c r="C11" s="56">
        <v>158784</v>
      </c>
      <c r="D11" s="56">
        <v>106838</v>
      </c>
      <c r="E11" s="56">
        <v>71055</v>
      </c>
      <c r="G11" s="25" t="s">
        <v>7</v>
      </c>
      <c r="H11" s="56">
        <v>1907020</v>
      </c>
      <c r="I11" s="56">
        <v>1798160</v>
      </c>
      <c r="J11" s="56">
        <v>1787782</v>
      </c>
      <c r="K11" s="56">
        <v>1751708</v>
      </c>
      <c r="M11" s="25" t="s">
        <v>8</v>
      </c>
      <c r="N11" s="56">
        <v>147334</v>
      </c>
      <c r="O11" s="56">
        <v>158809</v>
      </c>
      <c r="P11" s="56">
        <v>120260</v>
      </c>
      <c r="Q11" s="56">
        <v>143513</v>
      </c>
    </row>
    <row r="12" spans="1:17">
      <c r="A12" s="25" t="s">
        <v>9</v>
      </c>
      <c r="B12" s="56">
        <v>106588</v>
      </c>
      <c r="C12" s="56">
        <v>104153</v>
      </c>
      <c r="D12" s="56">
        <v>155506</v>
      </c>
      <c r="E12" s="56">
        <v>153279</v>
      </c>
      <c r="G12" s="25" t="s">
        <v>10</v>
      </c>
      <c r="H12" s="56">
        <v>1712815</v>
      </c>
      <c r="I12" s="58">
        <v>1611139</v>
      </c>
      <c r="J12" s="56">
        <v>1606021</v>
      </c>
      <c r="K12" s="56">
        <v>1565365</v>
      </c>
      <c r="M12" s="25" t="s">
        <v>11</v>
      </c>
      <c r="N12" s="56">
        <v>85331</v>
      </c>
      <c r="O12" s="56">
        <v>82798</v>
      </c>
      <c r="P12" s="56">
        <v>76960</v>
      </c>
      <c r="Q12" s="56">
        <v>65641</v>
      </c>
    </row>
    <row r="13" spans="1:17">
      <c r="A13" s="25" t="s">
        <v>12</v>
      </c>
      <c r="B13" s="56">
        <v>399499</v>
      </c>
      <c r="C13" s="56">
        <v>400747</v>
      </c>
      <c r="D13" s="56">
        <v>377998</v>
      </c>
      <c r="E13" s="56">
        <v>594805</v>
      </c>
      <c r="G13" s="25" t="s">
        <v>13</v>
      </c>
      <c r="H13" s="56">
        <v>194205</v>
      </c>
      <c r="I13" s="56">
        <v>187021</v>
      </c>
      <c r="J13" s="56">
        <v>181761</v>
      </c>
      <c r="K13" s="56">
        <v>186343</v>
      </c>
      <c r="M13" s="25" t="s">
        <v>14</v>
      </c>
      <c r="N13" s="58">
        <v>-3912</v>
      </c>
      <c r="O13" s="58">
        <v>-28346</v>
      </c>
      <c r="P13" s="58">
        <v>-23205</v>
      </c>
      <c r="Q13" s="58">
        <v>-12269</v>
      </c>
    </row>
    <row r="14" spans="1:17">
      <c r="A14" s="25" t="s">
        <v>15</v>
      </c>
      <c r="B14" s="56">
        <v>598263</v>
      </c>
      <c r="C14" s="56">
        <v>573481</v>
      </c>
      <c r="D14" s="56">
        <v>622340</v>
      </c>
      <c r="E14" s="56">
        <v>504802</v>
      </c>
      <c r="G14" s="25" t="s">
        <v>16</v>
      </c>
      <c r="H14" s="56">
        <v>27403</v>
      </c>
      <c r="I14" s="56">
        <v>34026</v>
      </c>
      <c r="J14" s="56">
        <v>40088</v>
      </c>
      <c r="K14" s="56">
        <v>21446</v>
      </c>
      <c r="M14" s="25" t="s">
        <v>9</v>
      </c>
      <c r="N14" s="58">
        <v>-2434</v>
      </c>
      <c r="O14" s="56">
        <v>51353</v>
      </c>
      <c r="P14" s="58">
        <v>-2228</v>
      </c>
      <c r="Q14" s="56">
        <v>15722</v>
      </c>
    </row>
    <row r="15" spans="1:17">
      <c r="A15" s="25" t="s">
        <v>17</v>
      </c>
      <c r="B15" s="56">
        <v>134432</v>
      </c>
      <c r="C15" s="56">
        <v>117098</v>
      </c>
      <c r="D15" s="56">
        <v>94192</v>
      </c>
      <c r="E15" s="56">
        <v>166067</v>
      </c>
      <c r="G15" s="25" t="s">
        <v>18</v>
      </c>
      <c r="H15" s="56">
        <v>221608</v>
      </c>
      <c r="I15" s="56">
        <v>221047</v>
      </c>
      <c r="J15" s="56">
        <v>221849</v>
      </c>
      <c r="K15" s="56">
        <v>207789</v>
      </c>
      <c r="M15" s="25" t="s">
        <v>19</v>
      </c>
      <c r="N15" s="57"/>
      <c r="O15" s="57"/>
      <c r="P15" s="57"/>
      <c r="Q15" s="57"/>
    </row>
    <row r="16" spans="1:17">
      <c r="A16" s="25" t="s">
        <v>20</v>
      </c>
      <c r="B16" s="56">
        <v>1406231</v>
      </c>
      <c r="C16" s="56">
        <v>1354263</v>
      </c>
      <c r="D16" s="56">
        <v>1356874</v>
      </c>
      <c r="E16" s="56">
        <v>1490008</v>
      </c>
      <c r="G16" s="25" t="s">
        <v>21</v>
      </c>
      <c r="H16" s="56">
        <v>58861</v>
      </c>
      <c r="I16" s="58">
        <v>48134</v>
      </c>
      <c r="J16" s="56">
        <v>83869</v>
      </c>
      <c r="K16" s="56">
        <v>49625</v>
      </c>
      <c r="M16" s="25" t="s">
        <v>22</v>
      </c>
      <c r="N16" s="56">
        <v>3190</v>
      </c>
      <c r="O16" s="58">
        <v>-18486</v>
      </c>
      <c r="P16" s="58">
        <v>-48176</v>
      </c>
      <c r="Q16" s="58">
        <v>-29111</v>
      </c>
    </row>
    <row r="17" spans="1:26">
      <c r="A17" s="25" t="s">
        <v>23</v>
      </c>
      <c r="B17" s="56">
        <v>194009</v>
      </c>
      <c r="C17" s="56">
        <v>182164</v>
      </c>
      <c r="D17" s="56">
        <v>194101</v>
      </c>
      <c r="E17" s="56">
        <v>198455</v>
      </c>
      <c r="G17" s="25" t="s">
        <v>11</v>
      </c>
      <c r="H17" s="56">
        <v>5418</v>
      </c>
      <c r="I17" s="58">
        <v>4588</v>
      </c>
      <c r="J17" s="56">
        <v>3538</v>
      </c>
      <c r="K17" s="56">
        <v>3582</v>
      </c>
      <c r="M17" s="25" t="s">
        <v>24</v>
      </c>
      <c r="N17" s="56">
        <v>3525</v>
      </c>
      <c r="O17" s="58">
        <v>-7901</v>
      </c>
      <c r="P17" s="58">
        <v>-5555</v>
      </c>
      <c r="Q17" s="58">
        <v>-3236</v>
      </c>
    </row>
    <row r="18" spans="1:26">
      <c r="A18" s="25" t="s">
        <v>25</v>
      </c>
      <c r="B18" s="56">
        <v>159620</v>
      </c>
      <c r="C18" s="56">
        <v>157425</v>
      </c>
      <c r="D18" s="56">
        <v>164790</v>
      </c>
      <c r="E18" s="56">
        <v>199774</v>
      </c>
      <c r="G18" s="25" t="s">
        <v>26</v>
      </c>
      <c r="H18" s="56">
        <v>9995</v>
      </c>
      <c r="I18" s="58">
        <v>9517</v>
      </c>
      <c r="J18" s="56">
        <v>14181</v>
      </c>
      <c r="K18" s="56">
        <v>11069</v>
      </c>
      <c r="M18" s="25" t="s">
        <v>27</v>
      </c>
      <c r="N18" s="58">
        <v>-110031</v>
      </c>
      <c r="O18" s="58">
        <v>-33330</v>
      </c>
      <c r="P18" s="58">
        <v>-185730</v>
      </c>
      <c r="Q18" s="58">
        <v>-106570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74274</v>
      </c>
      <c r="I19" s="58">
        <v>62239</v>
      </c>
      <c r="J19" s="56">
        <v>101588</v>
      </c>
      <c r="K19" s="56">
        <v>64276</v>
      </c>
      <c r="M19" s="25" t="s">
        <v>30</v>
      </c>
      <c r="N19" s="58">
        <v>-13249</v>
      </c>
      <c r="O19" s="58">
        <v>-44647</v>
      </c>
      <c r="P19" s="56">
        <v>287984</v>
      </c>
      <c r="Q19" s="56">
        <v>8157</v>
      </c>
    </row>
    <row r="20" spans="1:26">
      <c r="A20" s="25" t="s">
        <v>31</v>
      </c>
      <c r="B20" s="56">
        <v>1052602</v>
      </c>
      <c r="C20" s="56">
        <v>1014674</v>
      </c>
      <c r="D20" s="56">
        <v>997983</v>
      </c>
      <c r="E20" s="56">
        <v>1091779</v>
      </c>
      <c r="G20" s="25" t="s">
        <v>32</v>
      </c>
      <c r="H20" s="56">
        <v>147334</v>
      </c>
      <c r="I20" s="56">
        <v>158808</v>
      </c>
      <c r="J20" s="56">
        <v>120261</v>
      </c>
      <c r="K20" s="56">
        <v>143513</v>
      </c>
      <c r="M20" s="25" t="s">
        <v>33</v>
      </c>
      <c r="N20" s="57"/>
      <c r="O20" s="57"/>
      <c r="P20" s="57"/>
      <c r="Q20" s="57"/>
    </row>
    <row r="21" spans="1:26">
      <c r="A21" s="25" t="s">
        <v>34</v>
      </c>
      <c r="B21" s="59"/>
      <c r="C21" s="59"/>
      <c r="D21" s="57"/>
      <c r="E21" s="59"/>
      <c r="G21" s="25" t="s">
        <v>35</v>
      </c>
      <c r="H21" s="56">
        <v>5443</v>
      </c>
      <c r="I21" s="56">
        <v>6548</v>
      </c>
      <c r="J21" s="56">
        <v>6323</v>
      </c>
      <c r="K21" s="56">
        <v>4127</v>
      </c>
      <c r="M21" s="25" t="s">
        <v>36</v>
      </c>
      <c r="N21" s="58">
        <v>-105000</v>
      </c>
      <c r="O21" s="58">
        <v>-136650</v>
      </c>
      <c r="P21" s="58">
        <v>-207733</v>
      </c>
      <c r="Q21" s="58">
        <v>-112500</v>
      </c>
    </row>
    <row r="22" spans="1:26">
      <c r="A22" s="25" t="s">
        <v>37</v>
      </c>
      <c r="B22" s="56">
        <v>1406231</v>
      </c>
      <c r="C22" s="56">
        <v>1354263</v>
      </c>
      <c r="D22" s="56">
        <v>1356874</v>
      </c>
      <c r="E22" s="56">
        <v>1490008</v>
      </c>
      <c r="G22" s="25" t="s">
        <v>8</v>
      </c>
      <c r="H22" s="56">
        <v>141891</v>
      </c>
      <c r="I22" s="56">
        <v>152260</v>
      </c>
      <c r="J22" s="56">
        <v>113938</v>
      </c>
      <c r="K22" s="56">
        <v>139386</v>
      </c>
      <c r="M22" s="25" t="s">
        <v>38</v>
      </c>
      <c r="N22" s="56">
        <v>48076</v>
      </c>
      <c r="O22" s="56">
        <v>24476</v>
      </c>
      <c r="P22" s="56">
        <v>11899</v>
      </c>
      <c r="Q22" s="56">
        <v>42552</v>
      </c>
    </row>
    <row r="23" spans="1:26">
      <c r="B23" s="4">
        <f>B11+B12</f>
        <v>274037</v>
      </c>
      <c r="C23" s="4">
        <f>C11+C12</f>
        <v>262937</v>
      </c>
      <c r="D23" s="4">
        <f>D11+D12</f>
        <v>262344</v>
      </c>
      <c r="E23" s="4">
        <f>E11+E12</f>
        <v>224334</v>
      </c>
      <c r="G23" s="25" t="s">
        <v>39</v>
      </c>
      <c r="H23" s="56">
        <v>1109</v>
      </c>
      <c r="I23" s="56">
        <v>725</v>
      </c>
      <c r="J23" s="56">
        <v>105914</v>
      </c>
      <c r="K23" s="56">
        <v>57034</v>
      </c>
      <c r="M23" s="25" t="s">
        <v>40</v>
      </c>
      <c r="N23" s="56">
        <v>52830</v>
      </c>
      <c r="O23" s="56">
        <v>48076</v>
      </c>
      <c r="P23" s="56">
        <v>24476</v>
      </c>
      <c r="Q23" s="56">
        <v>11899</v>
      </c>
    </row>
    <row r="24" spans="1:26">
      <c r="G24" s="25" t="s">
        <v>41</v>
      </c>
      <c r="H24" s="56">
        <v>14189</v>
      </c>
      <c r="I24" s="58">
        <v>15226</v>
      </c>
      <c r="J24" s="56">
        <v>11394</v>
      </c>
      <c r="K24" s="56">
        <v>13939</v>
      </c>
      <c r="M24" s="2" t="s">
        <v>42</v>
      </c>
      <c r="N24" s="12">
        <f>SUM(N11:N17)</f>
        <v>233034</v>
      </c>
      <c r="O24" s="12">
        <f>SUM(O11:O17)</f>
        <v>238227</v>
      </c>
      <c r="P24" s="12">
        <f>SUM(P11:P17)</f>
        <v>118056</v>
      </c>
      <c r="Q24" s="12">
        <f>SUM(Q11:Q17)</f>
        <v>180260</v>
      </c>
    </row>
    <row r="25" spans="1:26">
      <c r="G25" s="25" t="s">
        <v>43</v>
      </c>
      <c r="H25" s="56">
        <v>105000</v>
      </c>
      <c r="I25" s="58">
        <v>135000</v>
      </c>
      <c r="J25" s="56">
        <v>206250</v>
      </c>
      <c r="K25" s="56">
        <v>75000</v>
      </c>
      <c r="M25" s="2" t="s">
        <v>44</v>
      </c>
      <c r="N25" s="12">
        <f>N18+N19</f>
        <v>-123280</v>
      </c>
      <c r="O25" s="12">
        <f>O18+O19</f>
        <v>-77977</v>
      </c>
      <c r="P25" s="12">
        <f>P18+P19</f>
        <v>102254</v>
      </c>
      <c r="Q25" s="12">
        <f>Q18+Q19</f>
        <v>-98413</v>
      </c>
    </row>
    <row r="26" spans="1:26">
      <c r="G26" s="25" t="s">
        <v>45</v>
      </c>
      <c r="H26" s="56">
        <v>1800</v>
      </c>
      <c r="I26" s="58">
        <v>1650</v>
      </c>
      <c r="J26" s="56">
        <v>1483</v>
      </c>
      <c r="K26" s="56">
        <v>1567</v>
      </c>
      <c r="M26" s="2" t="s">
        <v>46</v>
      </c>
      <c r="N26" s="12">
        <f>N20+N21</f>
        <v>-105000</v>
      </c>
      <c r="O26" s="12">
        <f>O20+O21</f>
        <v>-136650</v>
      </c>
      <c r="P26" s="12">
        <f>P20+P21</f>
        <v>-207733</v>
      </c>
      <c r="Q26" s="12">
        <f>Q20+Q21</f>
        <v>-112500</v>
      </c>
    </row>
    <row r="27" spans="1:26">
      <c r="G27" s="25" t="s">
        <v>47</v>
      </c>
      <c r="H27" s="56">
        <v>22011</v>
      </c>
      <c r="I27" s="56">
        <v>1109</v>
      </c>
      <c r="J27" s="56">
        <v>725</v>
      </c>
      <c r="K27" s="56">
        <v>105914</v>
      </c>
      <c r="M27" s="2" t="s">
        <v>48</v>
      </c>
      <c r="N27" s="12">
        <f>N24+N25+N26</f>
        <v>4754</v>
      </c>
      <c r="O27" s="12">
        <f>O24+O25+O26</f>
        <v>23600</v>
      </c>
      <c r="P27" s="12">
        <f>P24+P25+P26</f>
        <v>12577</v>
      </c>
      <c r="Q27" s="12">
        <f>Q24+Q25+Q26</f>
        <v>-30653</v>
      </c>
    </row>
    <row r="28" spans="1:26"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0.11907645329963569</v>
      </c>
      <c r="C30" s="24">
        <f t="shared" si="0"/>
        <v>0.11724753611373862</v>
      </c>
      <c r="D30" s="24">
        <f t="shared" si="0"/>
        <v>7.873833532074459E-2</v>
      </c>
      <c r="E30" s="24">
        <f t="shared" si="0"/>
        <v>4.7687663421941362E-2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7.7258759740327837E-2</v>
      </c>
      <c r="O30" s="26">
        <f t="shared" ref="O30:O42" si="3">O11/I$11</f>
        <v>8.8317502335720957E-2</v>
      </c>
      <c r="P30" s="26">
        <f t="shared" ref="P30:P42" si="4">P11/J$11</f>
        <v>6.7267709373961704E-2</v>
      </c>
      <c r="Q30" s="26">
        <f t="shared" ref="Q30:Q42" si="5">Q11/K$11</f>
        <v>8.1927467363282006E-2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7.579693521192464E-2</v>
      </c>
      <c r="C31" s="24">
        <f t="shared" si="0"/>
        <v>7.6907513533191113E-2</v>
      </c>
      <c r="D31" s="24">
        <f t="shared" si="0"/>
        <v>0.1146060724872022</v>
      </c>
      <c r="E31" s="24">
        <f t="shared" si="0"/>
        <v>0.10287125975162549</v>
      </c>
      <c r="F31" s="6"/>
      <c r="G31" s="25" t="s">
        <v>10</v>
      </c>
      <c r="H31" s="24">
        <f t="shared" si="1"/>
        <v>0.89816310264181809</v>
      </c>
      <c r="I31" s="24">
        <f t="shared" si="1"/>
        <v>0.89599312630689154</v>
      </c>
      <c r="J31" s="24">
        <f t="shared" si="1"/>
        <v>0.89833156391551094</v>
      </c>
      <c r="K31" s="24">
        <f t="shared" si="1"/>
        <v>0.8936221105344041</v>
      </c>
      <c r="L31" s="6"/>
      <c r="M31" s="25" t="s">
        <v>11</v>
      </c>
      <c r="N31" s="26">
        <f t="shared" si="2"/>
        <v>4.4745728938343596E-2</v>
      </c>
      <c r="O31" s="26">
        <f t="shared" si="3"/>
        <v>4.60459580904925E-2</v>
      </c>
      <c r="P31" s="26">
        <f t="shared" si="4"/>
        <v>4.3047754144520979E-2</v>
      </c>
      <c r="Q31" s="26">
        <f t="shared" si="5"/>
        <v>3.7472569629184771E-2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0.28409201617657409</v>
      </c>
      <c r="C32" s="24">
        <f t="shared" si="0"/>
        <v>0.29591519520211362</v>
      </c>
      <c r="D32" s="24">
        <f t="shared" si="0"/>
        <v>0.2785800302754714</v>
      </c>
      <c r="E32" s="24">
        <f t="shared" si="0"/>
        <v>0.39919584324379465</v>
      </c>
      <c r="F32" s="6"/>
      <c r="G32" s="25" t="s">
        <v>13</v>
      </c>
      <c r="H32" s="24">
        <f t="shared" si="1"/>
        <v>0.10183689735818187</v>
      </c>
      <c r="I32" s="24">
        <f t="shared" si="1"/>
        <v>0.10400687369310851</v>
      </c>
      <c r="J32" s="24">
        <f t="shared" si="1"/>
        <v>0.10166843608448904</v>
      </c>
      <c r="K32" s="24">
        <f t="shared" si="1"/>
        <v>0.10637788946559587</v>
      </c>
      <c r="L32" s="6"/>
      <c r="M32" s="25" t="s">
        <v>14</v>
      </c>
      <c r="N32" s="26">
        <f t="shared" si="2"/>
        <v>-2.0513681031137584E-3</v>
      </c>
      <c r="O32" s="26">
        <f t="shared" si="3"/>
        <v>-1.5763891978466876E-2</v>
      </c>
      <c r="P32" s="26">
        <f t="shared" si="4"/>
        <v>-1.2979770464184111E-2</v>
      </c>
      <c r="Q32" s="26">
        <f t="shared" si="5"/>
        <v>-7.0040212181482304E-3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0.4254372147961466</v>
      </c>
      <c r="C33" s="24">
        <f t="shared" si="0"/>
        <v>0.42346353699392214</v>
      </c>
      <c r="D33" s="24">
        <f t="shared" si="0"/>
        <v>0.45865717819045837</v>
      </c>
      <c r="E33" s="24">
        <f t="shared" si="0"/>
        <v>0.33879146957600226</v>
      </c>
      <c r="F33" s="6"/>
      <c r="G33" s="25" t="s">
        <v>16</v>
      </c>
      <c r="H33" s="24">
        <f t="shared" si="1"/>
        <v>1.4369539910436178E-2</v>
      </c>
      <c r="I33" s="24">
        <f t="shared" si="1"/>
        <v>1.892267651376963E-2</v>
      </c>
      <c r="J33" s="24">
        <f t="shared" si="1"/>
        <v>2.2423315594406926E-2</v>
      </c>
      <c r="K33" s="24">
        <f t="shared" si="1"/>
        <v>1.2242908064586108E-2</v>
      </c>
      <c r="L33" s="6"/>
      <c r="M33" s="25" t="s">
        <v>9</v>
      </c>
      <c r="N33" s="26">
        <f t="shared" si="2"/>
        <v>-1.2763369026019653E-3</v>
      </c>
      <c r="O33" s="26">
        <f t="shared" si="3"/>
        <v>2.8558637718556747E-2</v>
      </c>
      <c r="P33" s="26">
        <f t="shared" si="4"/>
        <v>-1.2462369573024005E-3</v>
      </c>
      <c r="Q33" s="26">
        <f t="shared" si="5"/>
        <v>8.9752401655983759E-3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9.5597380515718963E-2</v>
      </c>
      <c r="C34" s="24">
        <f t="shared" si="0"/>
        <v>8.6466218157034494E-2</v>
      </c>
      <c r="D34" s="24">
        <f t="shared" si="0"/>
        <v>6.9418383726123425E-2</v>
      </c>
      <c r="E34" s="24">
        <f t="shared" si="0"/>
        <v>0.1114537640066362</v>
      </c>
      <c r="F34" s="6"/>
      <c r="G34" s="25" t="s">
        <v>18</v>
      </c>
      <c r="H34" s="24">
        <f t="shared" si="1"/>
        <v>0.11620643726861805</v>
      </c>
      <c r="I34" s="24">
        <f t="shared" si="1"/>
        <v>0.12292955020687814</v>
      </c>
      <c r="J34" s="24">
        <f t="shared" si="1"/>
        <v>0.12409175167889597</v>
      </c>
      <c r="K34" s="24">
        <f t="shared" si="1"/>
        <v>0.11862079753018197</v>
      </c>
      <c r="L34" s="6"/>
      <c r="M34" s="25" t="s">
        <v>19</v>
      </c>
      <c r="N34" s="26">
        <f t="shared" si="2"/>
        <v>0</v>
      </c>
      <c r="O34" s="26">
        <f t="shared" si="3"/>
        <v>0</v>
      </c>
      <c r="P34" s="26">
        <f t="shared" si="4"/>
        <v>0</v>
      </c>
      <c r="Q34" s="26">
        <f t="shared" si="5"/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3.0865434027959854E-2</v>
      </c>
      <c r="I35" s="24">
        <f t="shared" si="1"/>
        <v>2.6768474440539217E-2</v>
      </c>
      <c r="J35" s="24">
        <f t="shared" si="1"/>
        <v>4.6912319287250905E-2</v>
      </c>
      <c r="K35" s="24">
        <f t="shared" si="1"/>
        <v>2.8329493271709669E-2</v>
      </c>
      <c r="L35" s="6"/>
      <c r="M35" s="25" t="s">
        <v>22</v>
      </c>
      <c r="N35" s="26">
        <f t="shared" si="2"/>
        <v>1.6727669347987961E-3</v>
      </c>
      <c r="O35" s="26">
        <f t="shared" si="3"/>
        <v>-1.0280508964719491E-2</v>
      </c>
      <c r="P35" s="26">
        <f t="shared" si="4"/>
        <v>-2.6947357116247954E-2</v>
      </c>
      <c r="Q35" s="26">
        <f t="shared" si="5"/>
        <v>-1.6618637352800808E-2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0.1379638196000515</v>
      </c>
      <c r="C36" s="24">
        <f t="shared" si="0"/>
        <v>0.13451153874838195</v>
      </c>
      <c r="D36" s="24">
        <f t="shared" si="0"/>
        <v>0.14305012845702697</v>
      </c>
      <c r="E36" s="24">
        <f t="shared" si="0"/>
        <v>0.1331905600506843</v>
      </c>
      <c r="F36" s="6"/>
      <c r="G36" s="25" t="s">
        <v>11</v>
      </c>
      <c r="H36" s="24">
        <f t="shared" si="1"/>
        <v>2.8410818974106198E-3</v>
      </c>
      <c r="I36" s="24">
        <f t="shared" si="1"/>
        <v>2.5514970859100415E-3</v>
      </c>
      <c r="J36" s="24">
        <f t="shared" si="1"/>
        <v>1.9789884896480666E-3</v>
      </c>
      <c r="K36" s="24">
        <f t="shared" si="1"/>
        <v>2.0448613581715673E-3</v>
      </c>
      <c r="L36" s="6"/>
      <c r="M36" s="25" t="s">
        <v>24</v>
      </c>
      <c r="N36" s="26">
        <f t="shared" si="2"/>
        <v>1.8484336818701431E-3</v>
      </c>
      <c r="O36" s="26">
        <f t="shared" si="3"/>
        <v>-4.3939360234906792E-3</v>
      </c>
      <c r="P36" s="26">
        <f t="shared" si="4"/>
        <v>-3.1072021085344855E-3</v>
      </c>
      <c r="Q36" s="26">
        <f t="shared" si="5"/>
        <v>-1.847339853445894E-3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0.11350908918947171</v>
      </c>
      <c r="C37" s="24">
        <f t="shared" si="0"/>
        <v>0.11624403827026213</v>
      </c>
      <c r="D37" s="24">
        <f t="shared" si="0"/>
        <v>0.12144827006781765</v>
      </c>
      <c r="E37" s="24">
        <f t="shared" si="0"/>
        <v>0.13407579019709961</v>
      </c>
      <c r="F37" s="6"/>
      <c r="G37" s="25" t="s">
        <v>26</v>
      </c>
      <c r="H37" s="24">
        <f t="shared" si="1"/>
        <v>5.2411616029197387E-3</v>
      </c>
      <c r="I37" s="24">
        <f t="shared" si="1"/>
        <v>5.2926324687458288E-3</v>
      </c>
      <c r="J37" s="24">
        <f t="shared" si="1"/>
        <v>7.9321751757205298E-3</v>
      </c>
      <c r="K37" s="24">
        <f t="shared" si="1"/>
        <v>6.3189755370187265E-3</v>
      </c>
      <c r="L37" s="6"/>
      <c r="M37" s="25" t="s">
        <v>27</v>
      </c>
      <c r="N37" s="26">
        <f t="shared" si="2"/>
        <v>-5.7697874170171262E-2</v>
      </c>
      <c r="O37" s="26">
        <f t="shared" si="3"/>
        <v>-1.8535614183387464E-2</v>
      </c>
      <c r="P37" s="26">
        <f t="shared" si="4"/>
        <v>-0.10388850542180199</v>
      </c>
      <c r="Q37" s="26">
        <f t="shared" si="5"/>
        <v>-6.0837765198309308E-2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3.894767752829021E-2</v>
      </c>
      <c r="I38" s="24">
        <f t="shared" si="1"/>
        <v>3.4612603995195092E-2</v>
      </c>
      <c r="J38" s="24">
        <f t="shared" si="1"/>
        <v>5.6823482952619506E-2</v>
      </c>
      <c r="K38" s="24">
        <f t="shared" si="1"/>
        <v>3.6693330166899962E-2</v>
      </c>
      <c r="L38" s="6"/>
      <c r="M38" s="25" t="s">
        <v>30</v>
      </c>
      <c r="N38" s="26">
        <f t="shared" si="2"/>
        <v>-6.9474887520844042E-3</v>
      </c>
      <c r="O38" s="26">
        <f t="shared" si="3"/>
        <v>-2.4829269920363037E-2</v>
      </c>
      <c r="P38" s="26">
        <f t="shared" si="4"/>
        <v>0.16108451701605678</v>
      </c>
      <c r="Q38" s="26">
        <f t="shared" si="5"/>
        <v>4.6565980174777992E-3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0.74852709121047678</v>
      </c>
      <c r="C39" s="24">
        <f t="shared" si="0"/>
        <v>0.74924442298135596</v>
      </c>
      <c r="D39" s="24">
        <f t="shared" si="0"/>
        <v>0.73550160147515542</v>
      </c>
      <c r="E39" s="24">
        <f t="shared" si="0"/>
        <v>0.73273364975221611</v>
      </c>
      <c r="F39" s="6"/>
      <c r="G39" s="25" t="s">
        <v>32</v>
      </c>
      <c r="H39" s="24">
        <f t="shared" si="1"/>
        <v>7.7258759740327837E-2</v>
      </c>
      <c r="I39" s="24">
        <f t="shared" si="1"/>
        <v>8.8316946211683053E-2</v>
      </c>
      <c r="J39" s="24">
        <f t="shared" si="1"/>
        <v>6.7268268726276476E-2</v>
      </c>
      <c r="K39" s="24">
        <f t="shared" si="1"/>
        <v>8.1927467363282006E-2</v>
      </c>
      <c r="L39" s="6"/>
      <c r="M39" s="25" t="s">
        <v>33</v>
      </c>
      <c r="N39" s="26">
        <f t="shared" si="2"/>
        <v>0</v>
      </c>
      <c r="O39" s="26">
        <f t="shared" si="3"/>
        <v>0</v>
      </c>
      <c r="P39" s="26">
        <f t="shared" si="4"/>
        <v>0</v>
      </c>
      <c r="Q39" s="26">
        <f t="shared" si="5"/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2.8541913561472873E-3</v>
      </c>
      <c r="I40" s="24">
        <f t="shared" si="1"/>
        <v>3.6415002002046538E-3</v>
      </c>
      <c r="J40" s="24">
        <f t="shared" si="1"/>
        <v>3.5367846862760671E-3</v>
      </c>
      <c r="K40" s="24">
        <f t="shared" si="1"/>
        <v>2.3559862716845503E-3</v>
      </c>
      <c r="L40" s="6"/>
      <c r="M40" s="25" t="s">
        <v>36</v>
      </c>
      <c r="N40" s="26">
        <f t="shared" si="2"/>
        <v>-5.505972669400426E-2</v>
      </c>
      <c r="O40" s="26">
        <f t="shared" si="3"/>
        <v>-7.5994349779774886E-2</v>
      </c>
      <c r="P40" s="26">
        <f t="shared" si="4"/>
        <v>-0.11619593440363535</v>
      </c>
      <c r="Q40" s="26">
        <f t="shared" si="5"/>
        <v>-6.4223032605890934E-2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7.4404568384180553E-2</v>
      </c>
      <c r="I41" s="24">
        <f t="shared" si="1"/>
        <v>8.4675446011478403E-2</v>
      </c>
      <c r="J41" s="24">
        <f t="shared" si="1"/>
        <v>6.3731484040000397E-2</v>
      </c>
      <c r="K41" s="24">
        <f t="shared" si="1"/>
        <v>7.9571481091597451E-2</v>
      </c>
      <c r="L41" s="6"/>
      <c r="M41" s="25" t="s">
        <v>38</v>
      </c>
      <c r="N41" s="26">
        <f t="shared" si="2"/>
        <v>2.5210013528961416E-2</v>
      </c>
      <c r="O41" s="26">
        <f t="shared" si="3"/>
        <v>1.3611691951772923E-2</v>
      </c>
      <c r="P41" s="26">
        <f t="shared" si="4"/>
        <v>6.6557331934206741E-3</v>
      </c>
      <c r="Q41" s="26">
        <f t="shared" si="5"/>
        <v>2.4291719852852188E-2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5.8153558955857828E-4</v>
      </c>
      <c r="I42" s="24">
        <f t="shared" si="1"/>
        <v>4.0318992748142546E-4</v>
      </c>
      <c r="J42" s="24">
        <f t="shared" si="1"/>
        <v>5.9243241066304506E-2</v>
      </c>
      <c r="K42" s="24">
        <f t="shared" si="1"/>
        <v>3.2559079481283414E-2</v>
      </c>
      <c r="L42" s="6"/>
      <c r="M42" s="25" t="s">
        <v>40</v>
      </c>
      <c r="N42" s="26">
        <f t="shared" si="2"/>
        <v>2.7702908202326144E-2</v>
      </c>
      <c r="O42" s="26">
        <f t="shared" si="3"/>
        <v>2.6736219246340703E-2</v>
      </c>
      <c r="P42" s="26">
        <f t="shared" si="4"/>
        <v>1.3690707256253839E-2</v>
      </c>
      <c r="Q42" s="26">
        <f t="shared" si="5"/>
        <v>6.7927987997999668E-3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7.4404044005831086E-3</v>
      </c>
      <c r="I43" s="24">
        <f t="shared" si="1"/>
        <v>8.4675446011478403E-3</v>
      </c>
      <c r="J43" s="24">
        <f t="shared" si="1"/>
        <v>6.3732602744629935E-3</v>
      </c>
      <c r="K43" s="24">
        <f t="shared" si="1"/>
        <v>7.9573764577201226E-3</v>
      </c>
      <c r="L43" s="6"/>
      <c r="M43" s="2" t="s">
        <v>49</v>
      </c>
      <c r="N43" s="26">
        <f>N24/H11</f>
        <v>0.12219798428962465</v>
      </c>
      <c r="O43" s="26">
        <f>O24/I11</f>
        <v>0.13248376117809316</v>
      </c>
      <c r="P43" s="26">
        <f>P24/J11</f>
        <v>6.6034896872213728E-2</v>
      </c>
      <c r="Q43" s="26">
        <f>Q24/K11</f>
        <v>0.10290527873367022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5.505972669400426E-2</v>
      </c>
      <c r="I44" s="24">
        <f t="shared" si="1"/>
        <v>7.5076745117230947E-2</v>
      </c>
      <c r="J44" s="24">
        <f t="shared" si="1"/>
        <v>0.11536641492083487</v>
      </c>
      <c r="K44" s="24">
        <f t="shared" si="1"/>
        <v>4.2815355070593961E-2</v>
      </c>
      <c r="L44" s="6"/>
      <c r="M44" s="2" t="s">
        <v>50</v>
      </c>
      <c r="N44" s="26">
        <f>N24/B16</f>
        <v>0.16571530566457432</v>
      </c>
      <c r="O44" s="26">
        <f>O24/C16</f>
        <v>0.17590896303007614</v>
      </c>
      <c r="P44" s="26">
        <f>P24/D16</f>
        <v>8.700586789930384E-2</v>
      </c>
      <c r="Q44" s="26">
        <f>Q24/E16</f>
        <v>0.12097921621897333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9.4388102904007301E-4</v>
      </c>
      <c r="I45" s="24">
        <f t="shared" si="1"/>
        <v>9.1760466254393381E-4</v>
      </c>
      <c r="J45" s="24">
        <f t="shared" si="1"/>
        <v>8.2951948280047562E-4</v>
      </c>
      <c r="K45" s="24">
        <f t="shared" si="1"/>
        <v>8.9455548527494306E-4</v>
      </c>
      <c r="L45" s="6"/>
      <c r="M45" s="2" t="s">
        <v>51</v>
      </c>
      <c r="N45" s="26">
        <f>N24/B20</f>
        <v>0.22138852101744058</v>
      </c>
      <c r="O45" s="26">
        <f>O24/C20</f>
        <v>0.23478181169518486</v>
      </c>
      <c r="P45" s="26">
        <f>P24/D20</f>
        <v>0.11829460020862079</v>
      </c>
      <c r="Q45" s="26">
        <f>Q24/E20</f>
        <v>0.16510667451929373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1.1542091850111692E-2</v>
      </c>
      <c r="I46" s="24">
        <f t="shared" si="1"/>
        <v>6.1674155803710456E-4</v>
      </c>
      <c r="J46" s="24">
        <f t="shared" si="1"/>
        <v>4.0553042820657103E-4</v>
      </c>
      <c r="K46" s="24">
        <f t="shared" si="1"/>
        <v>6.0463273559291847E-2</v>
      </c>
      <c r="L46" s="6"/>
      <c r="M46" s="2" t="s">
        <v>52</v>
      </c>
      <c r="N46" s="26">
        <f>N24/H22</f>
        <v>1.6423451804554201</v>
      </c>
      <c r="O46" s="26">
        <f>O24/I22</f>
        <v>1.5646065939839748</v>
      </c>
      <c r="P46" s="26">
        <f>P24/J22</f>
        <v>1.0361424634450316</v>
      </c>
      <c r="Q46" s="26">
        <f>Q24/K22</f>
        <v>1.2932432238531846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0.65897876022611268</v>
      </c>
      <c r="O47" s="26">
        <f>O24/(C22-C20)</f>
        <v>0.70151565568967189</v>
      </c>
      <c r="P47" s="26">
        <f>P24/(D22-D20)</f>
        <v>0.32894667183072296</v>
      </c>
      <c r="Q47" s="26">
        <f>Q24/(E22-E20)</f>
        <v>0.45265412614350037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2.2193714285714288</v>
      </c>
      <c r="O48" s="26">
        <f>O24/I25</f>
        <v>1.7646444444444445</v>
      </c>
      <c r="P48" s="26">
        <f>P24/J25</f>
        <v>0.57239272727272728</v>
      </c>
      <c r="Q48" s="26">
        <f>Q24/K25</f>
        <v>2.4034666666666666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2.1178940480410064</v>
      </c>
      <c r="O49" s="26">
        <f>O24/(O18*-1)</f>
        <v>7.1475247524752472</v>
      </c>
      <c r="P49" s="26">
        <f>P24/(P18*-1)</f>
        <v>0.63563236956872882</v>
      </c>
      <c r="Q49" s="26">
        <f>Q24/(Q18*-1)</f>
        <v>1.6914703950455099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3.7693392164005947E-2</v>
      </c>
      <c r="I50" s="28">
        <f>LN(I13/J13)</f>
        <v>2.852827273649898E-2</v>
      </c>
      <c r="J50" s="28">
        <f>LN(J13/K13)</f>
        <v>-2.4896424217342845E-2</v>
      </c>
      <c r="M50" s="2"/>
      <c r="N50" s="12"/>
      <c r="O50" s="12"/>
    </row>
    <row r="51" spans="1:26">
      <c r="A51" s="29" t="s">
        <v>57</v>
      </c>
      <c r="B51" s="30">
        <f>B23/B17</f>
        <v>1.4124963274899618</v>
      </c>
      <c r="C51" s="30">
        <f>C23/C17</f>
        <v>1.4434081377220527</v>
      </c>
      <c r="D51" s="30">
        <f>D23/D17</f>
        <v>1.3515849995620837</v>
      </c>
      <c r="E51" s="30">
        <f>E23/E17</f>
        <v>1.130402358217228</v>
      </c>
      <c r="G51" s="29" t="s">
        <v>58</v>
      </c>
      <c r="H51" s="63">
        <f>H13/H11</f>
        <v>0.10183689735818187</v>
      </c>
      <c r="I51" s="63">
        <f>I13/I11</f>
        <v>0.10400687369310851</v>
      </c>
      <c r="J51" s="63">
        <f>J13/J11</f>
        <v>0.10166843608448904</v>
      </c>
      <c r="K51" s="63">
        <f>K13/K11</f>
        <v>0.10637788946559587</v>
      </c>
      <c r="M51" s="2" t="s">
        <v>59</v>
      </c>
      <c r="N51" s="32">
        <f>(N11-N24-N25)/B16</f>
        <v>2.6723916625362405E-2</v>
      </c>
      <c r="O51" s="32">
        <f>(O11-O24-O25)/C16</f>
        <v>-1.0640473822293012E-3</v>
      </c>
      <c r="P51" s="32">
        <f>(P11-P24-P25)/D16</f>
        <v>-7.3735660053918045E-2</v>
      </c>
      <c r="Q51" s="32">
        <f>(Q11-Q24-Q25)/E16</f>
        <v>4.1386354972590751E-2</v>
      </c>
    </row>
    <row r="52" spans="1:26">
      <c r="A52" s="29" t="s">
        <v>60</v>
      </c>
      <c r="B52" s="49">
        <f>H20/B16</f>
        <v>0.10477226003409112</v>
      </c>
      <c r="C52" s="49">
        <f>I20/C16</f>
        <v>0.11726525792995895</v>
      </c>
      <c r="D52" s="49">
        <f>J20/D16</f>
        <v>8.863092667410534E-2</v>
      </c>
      <c r="E52" s="49">
        <f>K20/E16</f>
        <v>9.6316932526536767E-2</v>
      </c>
      <c r="F52" s="31"/>
      <c r="G52" s="29" t="s">
        <v>61</v>
      </c>
      <c r="H52" s="63">
        <f>H16/H11</f>
        <v>3.0865434027959854E-2</v>
      </c>
      <c r="I52" s="63">
        <f>I16/I11</f>
        <v>2.6768474440539217E-2</v>
      </c>
      <c r="J52" s="63">
        <f>J16/J11</f>
        <v>4.6912319287250905E-2</v>
      </c>
      <c r="K52" s="63">
        <f>K16/K11</f>
        <v>2.8329493271709669E-2</v>
      </c>
      <c r="M52" s="6"/>
    </row>
    <row r="53" spans="1:26">
      <c r="A53" s="29" t="s">
        <v>62</v>
      </c>
      <c r="B53" s="49">
        <f>H20/B20</f>
        <v>0.13997123319165269</v>
      </c>
      <c r="C53" s="49">
        <f>I20/C20</f>
        <v>0.15651135241466718</v>
      </c>
      <c r="D53" s="49">
        <f>J20/D20</f>
        <v>0.12050405668232826</v>
      </c>
      <c r="E53" s="49">
        <f>K20/E20</f>
        <v>0.13144876389818819</v>
      </c>
      <c r="G53" s="29" t="s">
        <v>11</v>
      </c>
      <c r="H53" s="71">
        <f>H17/H11</f>
        <v>2.8410818974106198E-3</v>
      </c>
      <c r="I53" s="71">
        <f>I17/I11</f>
        <v>2.5514970859100415E-3</v>
      </c>
      <c r="J53" s="71">
        <f>J17/J11</f>
        <v>1.9789884896480666E-3</v>
      </c>
      <c r="K53" s="71">
        <f>K17/K11</f>
        <v>2.0448613581715673E-3</v>
      </c>
      <c r="M53" s="6"/>
    </row>
    <row r="54" spans="1:26">
      <c r="A54" s="29" t="s">
        <v>63</v>
      </c>
      <c r="B54" s="30">
        <f>H11/B12</f>
        <v>17.891507486771495</v>
      </c>
      <c r="C54" s="30">
        <f>I11/C12</f>
        <v>17.264601115666377</v>
      </c>
      <c r="D54" s="30">
        <f>J11/D12</f>
        <v>11.496546757038313</v>
      </c>
      <c r="E54" s="30">
        <f>K11/E12</f>
        <v>11.428232177923917</v>
      </c>
      <c r="G54" s="29" t="s">
        <v>64</v>
      </c>
      <c r="H54" s="63">
        <f>H25/H22</f>
        <v>0.74000465145780914</v>
      </c>
      <c r="I54" s="63">
        <f>I25/I22</f>
        <v>0.88664127150926042</v>
      </c>
      <c r="J54" s="63">
        <f>J25/J22</f>
        <v>1.8101950183433095</v>
      </c>
      <c r="K54" s="63">
        <f>K25/K22</f>
        <v>0.53807412509147257</v>
      </c>
      <c r="M54" s="6"/>
    </row>
    <row r="55" spans="1:26">
      <c r="A55" s="29" t="s">
        <v>65</v>
      </c>
      <c r="B55" s="31">
        <f>(B22-B20)/B16</f>
        <v>0.25147290878952322</v>
      </c>
      <c r="C55" s="31">
        <f>(C22-C20)/C16</f>
        <v>0.25075557701864409</v>
      </c>
      <c r="D55" s="31">
        <f>(D22-D20)/D16</f>
        <v>0.26449839852484458</v>
      </c>
      <c r="E55" s="31">
        <f>(E22-E20)/E16</f>
        <v>0.26726635024778389</v>
      </c>
      <c r="G55" s="29" t="s">
        <v>66</v>
      </c>
      <c r="H55" s="63">
        <f>H22/H11</f>
        <v>7.4404568384180553E-2</v>
      </c>
      <c r="I55" s="63">
        <f>I22/I11</f>
        <v>8.4675446011478403E-2</v>
      </c>
      <c r="J55" s="63">
        <f>J22/J11</f>
        <v>6.3731484040000397E-2</v>
      </c>
      <c r="K55" s="63">
        <f>K22/K11</f>
        <v>7.9571481091597451E-2</v>
      </c>
      <c r="L55" s="31"/>
      <c r="M55" s="6"/>
    </row>
    <row r="56" spans="1:26">
      <c r="A56" s="29" t="s">
        <v>67</v>
      </c>
      <c r="B56" s="31">
        <f>(B22-B20)/B20</f>
        <v>0.33595699039143001</v>
      </c>
      <c r="C56" s="31">
        <f>(C22-C20)/C20</f>
        <v>0.33467793596761125</v>
      </c>
      <c r="D56" s="31">
        <f>(D22-D20)/D20</f>
        <v>0.35961634617022536</v>
      </c>
      <c r="E56" s="31">
        <f>(E22-E20)/E20</f>
        <v>0.36475239036471668</v>
      </c>
      <c r="G56" s="33" t="s">
        <v>68</v>
      </c>
      <c r="H56" s="34">
        <f>H13/B16</f>
        <v>0.13810319926100334</v>
      </c>
      <c r="I56" s="34">
        <f>I13/C16</f>
        <v>0.13809799130597233</v>
      </c>
      <c r="J56" s="34">
        <f>J13/D16</f>
        <v>0.1339556952229905</v>
      </c>
      <c r="K56" s="34">
        <f>K13/E16</f>
        <v>0.12506174463492814</v>
      </c>
      <c r="M56" s="6"/>
    </row>
    <row r="57" spans="1:26">
      <c r="A57" s="29" t="s">
        <v>69</v>
      </c>
      <c r="B57" s="30">
        <f>H11/B16</f>
        <v>1.3561214338184835</v>
      </c>
      <c r="C57" s="30">
        <f>I11/C16</f>
        <v>1.3277775439482582</v>
      </c>
      <c r="D57" s="30">
        <f>J11/D16</f>
        <v>1.3175740709896424</v>
      </c>
      <c r="E57" s="30">
        <f>K11/E16</f>
        <v>1.175636640877096</v>
      </c>
      <c r="G57" s="33" t="s">
        <v>70</v>
      </c>
      <c r="H57" s="35">
        <f>H25/$B$5</f>
        <v>50.779833151976788</v>
      </c>
      <c r="I57" s="35">
        <f>I25/$B$5</f>
        <v>65.288356909684438</v>
      </c>
      <c r="J57" s="35">
        <f>J25/$B$5</f>
        <v>99.74610083424011</v>
      </c>
      <c r="K57" s="35">
        <f>K25/$B$5</f>
        <v>36.271309394269132</v>
      </c>
      <c r="M57" s="6"/>
    </row>
    <row r="58" spans="1:26">
      <c r="A58" s="29" t="s">
        <v>71</v>
      </c>
      <c r="B58" s="30">
        <f>B16/B20</f>
        <v>1.3359569903914299</v>
      </c>
      <c r="C58" s="30">
        <f>C16/C20</f>
        <v>1.3346779359676113</v>
      </c>
      <c r="D58" s="30">
        <f>D16/D20</f>
        <v>1.3596163461702253</v>
      </c>
      <c r="E58" s="30">
        <f>E16/E20</f>
        <v>1.3647523903647167</v>
      </c>
      <c r="G58" s="36" t="s">
        <v>72</v>
      </c>
      <c r="H58" s="37">
        <f>H22/$B$7/1000</f>
        <v>1.89188</v>
      </c>
      <c r="I58" s="37">
        <f>I22/$B$7/1000</f>
        <v>2.0301333333333336</v>
      </c>
      <c r="J58" s="37">
        <f>J22/$B$7/1000</f>
        <v>1.5191733333333335</v>
      </c>
      <c r="K58" s="37">
        <f>K22/$B$7/1000</f>
        <v>1.8584799999999999</v>
      </c>
      <c r="M58" s="6"/>
    </row>
    <row r="59" spans="1:26">
      <c r="G59" s="36" t="s">
        <v>73</v>
      </c>
      <c r="H59" s="37">
        <f>B20/$B$7/1000</f>
        <v>14.034693333333333</v>
      </c>
      <c r="I59" s="37">
        <f>C20/$B$7/1000</f>
        <v>13.528986666666666</v>
      </c>
      <c r="J59" s="37">
        <f>D20/$B$7/1000</f>
        <v>13.30644</v>
      </c>
      <c r="K59" s="37">
        <f>E20/$B$7/1000</f>
        <v>14.557053333333334</v>
      </c>
      <c r="M59" s="6"/>
    </row>
    <row r="60" spans="1:26">
      <c r="G60" s="33" t="s">
        <v>74</v>
      </c>
      <c r="H60" s="38">
        <f>SQRT(22.5*H58*H59)</f>
        <v>24.442156237288071</v>
      </c>
      <c r="I60" s="38">
        <f>SQRT(22.5*I58*I59)</f>
        <v>24.859144252367177</v>
      </c>
      <c r="J60" s="38">
        <f>SQRT(22.5*J58*J59)</f>
        <v>21.326808205073728</v>
      </c>
      <c r="K60" s="38">
        <f>SQRT(22.5*K58*K59)</f>
        <v>24.672146861916982</v>
      </c>
      <c r="M60" s="6"/>
    </row>
    <row r="61" spans="1:26">
      <c r="G61" s="33" t="s">
        <v>75</v>
      </c>
      <c r="H61" s="39">
        <f>H58-(B20*0.08/1000/$B$7)</f>
        <v>0.76910453333333328</v>
      </c>
      <c r="I61" s="39">
        <f>I58-(C20*0.08/1000/$B$7)</f>
        <v>0.94781440000000039</v>
      </c>
      <c r="J61" s="39">
        <f>J58-(D20*0.08/1000/$B$7)</f>
        <v>0.45465813333333349</v>
      </c>
      <c r="K61" s="39">
        <f>K58-(E20*0.08/1000/$B$7)</f>
        <v>0.69391573333333323</v>
      </c>
      <c r="M61" s="6"/>
    </row>
    <row r="62" spans="1:26">
      <c r="G62" s="40" t="s">
        <v>76</v>
      </c>
      <c r="H62" s="41">
        <f>H25/$B$7/1000</f>
        <v>1.4</v>
      </c>
      <c r="I62" s="41">
        <f>I25/$B$7/1000</f>
        <v>1.8</v>
      </c>
      <c r="J62" s="41">
        <f>J25/$B$7/1000</f>
        <v>2.75</v>
      </c>
      <c r="K62" s="41">
        <f>K25/$B$7/1000</f>
        <v>1</v>
      </c>
      <c r="M62" s="6"/>
    </row>
    <row r="63" spans="1:26">
      <c r="A63" s="2"/>
      <c r="M63" s="6"/>
    </row>
    <row r="64" spans="1:26">
      <c r="G64" s="2" t="s">
        <v>105</v>
      </c>
      <c r="H64" s="6">
        <f>I51/H51</f>
        <v>1.0213083508160543</v>
      </c>
      <c r="I64" s="6">
        <f>J51/I51</f>
        <v>0.97751650899997755</v>
      </c>
      <c r="J64" s="6">
        <f>K51/J51</f>
        <v>1.0463216860854745</v>
      </c>
      <c r="M64" s="6"/>
    </row>
    <row r="65" spans="7:13">
      <c r="G65" s="2" t="s">
        <v>106</v>
      </c>
      <c r="H65" s="6">
        <f>H11/I11</f>
        <v>1.0605396627663835</v>
      </c>
      <c r="I65" s="6">
        <f>I11/J11</f>
        <v>1.0058049583226589</v>
      </c>
      <c r="J65" s="6">
        <f>J11/K11</f>
        <v>1.0205936149175547</v>
      </c>
      <c r="M65" s="6"/>
    </row>
    <row r="66" spans="7:13">
      <c r="G66" s="2" t="s">
        <v>107</v>
      </c>
      <c r="H66" s="6">
        <f>(N13/1948687)/(O13/1747778)</f>
        <v>0.12378021816574668</v>
      </c>
      <c r="I66" s="6">
        <f>(O13/I11)/(P13/J11)</f>
        <v>1.2144969760416924</v>
      </c>
      <c r="J66" s="6">
        <f>(P13/J11)/(Q13/K11)</f>
        <v>1.853188341370529</v>
      </c>
      <c r="M66" s="6"/>
    </row>
    <row r="67" spans="7:13">
      <c r="G67" s="2" t="s">
        <v>108</v>
      </c>
      <c r="H67" s="6">
        <f>H52/I52</f>
        <v>1.1530516651787985</v>
      </c>
      <c r="I67" s="6">
        <f>I52/J52</f>
        <v>0.57060650266792357</v>
      </c>
      <c r="J67" s="6">
        <f>J52/K52</f>
        <v>1.6559533500056767</v>
      </c>
      <c r="M67" s="6"/>
    </row>
    <row r="68" spans="7:13">
      <c r="G68" s="2" t="s">
        <v>109</v>
      </c>
      <c r="H68" s="2">
        <v>0</v>
      </c>
      <c r="I68" s="2">
        <v>0</v>
      </c>
      <c r="J68" s="2">
        <v>0</v>
      </c>
      <c r="M68" s="6"/>
    </row>
    <row r="69" spans="7:13">
      <c r="G69" s="2" t="s">
        <v>110</v>
      </c>
      <c r="H69" s="6">
        <f>B58/C58</f>
        <v>1.0009583243937357</v>
      </c>
      <c r="I69" s="6">
        <f>C58/D58</f>
        <v>0.98165775935773303</v>
      </c>
      <c r="J69" s="6">
        <f>D58/E58</f>
        <v>0.99623664759208164</v>
      </c>
      <c r="M69" s="6"/>
    </row>
    <row r="70" spans="7:13">
      <c r="G70" s="2" t="s">
        <v>111</v>
      </c>
      <c r="H70" s="6">
        <f>((1-B11)/B16)/((1-C11)/C16)</f>
        <v>1.015599099591556</v>
      </c>
      <c r="I70" s="6">
        <f>((1-C11)/C16)/((1-D11)/D16)</f>
        <v>1.4890827277891279</v>
      </c>
      <c r="J70" s="6">
        <f>((1-D11)/D16)/((1-E11)/E16)</f>
        <v>1.6511336647678869</v>
      </c>
      <c r="M70" s="6"/>
    </row>
    <row r="71" spans="7:13">
      <c r="G71" s="2" t="s">
        <v>112</v>
      </c>
      <c r="H71" s="6">
        <f>((H13-H16-H17)-N24)/B16</f>
        <v>-7.3322235109309922E-2</v>
      </c>
      <c r="I71" s="6">
        <f>((I13-I16-I17)-O24)/C16</f>
        <v>-7.6741371506125478E-2</v>
      </c>
      <c r="J71" s="6">
        <f>((J13-J16-J17)-P24)/D16</f>
        <v>-1.7468092099929691E-2</v>
      </c>
      <c r="K71" s="6">
        <f>((K13-K16-K17)-Q24)/E16</f>
        <v>-3.1626675829928431E-2</v>
      </c>
      <c r="M71" s="6"/>
    </row>
    <row r="72" spans="7:13">
      <c r="G72" s="2" t="s">
        <v>113</v>
      </c>
      <c r="H72" s="6">
        <f>-4.84 + 0.92 *H66  + 0.528 *H64 + 0.404 *H70 + 0.892 *H65 + 0.115 *H68 - 0.172 *H67- 0.327 *H69 + 4.697 *H71</f>
        <v>-3.7006007714299671</v>
      </c>
      <c r="I72" s="6">
        <f>-4.84 + 0.92 *I66  + 0.528 *I64 + 0.404 *I70 + 0.892 *I65 + 0.115 *I68 - 0.172 *I67- 0.327 *I69 + 4.697 *I71</f>
        <v>-2.487367248172168</v>
      </c>
      <c r="J72" s="6">
        <f>-4.84 + 0.92 *J66  + 0.528 *J64 + 0.404 *J70 + 0.892 *J65 + 0.115 *J68 - 0.172 *J67- 0.327 *J69 + 4.697 *J71</f>
        <v>-1.6978223591702546</v>
      </c>
      <c r="M72" s="6"/>
    </row>
    <row r="73" spans="7:13">
      <c r="H73" s="6" t="str">
        <f>IF(H72&gt;-2.22,"CARE","Good")</f>
        <v>Good</v>
      </c>
      <c r="I73" s="6" t="str">
        <f>IF(I72&gt;-2.22,"CARE","Good")</f>
        <v>Good</v>
      </c>
      <c r="J73" s="6" t="str">
        <f>IF(J72&gt;-2.22,"CARE","Good")</f>
        <v>CARE</v>
      </c>
      <c r="M73" s="6"/>
    </row>
    <row r="74" spans="7:13">
      <c r="M74" s="6"/>
    </row>
    <row r="75" spans="7:13">
      <c r="M75" s="6"/>
    </row>
    <row r="76" spans="7:13">
      <c r="M76" s="6"/>
    </row>
    <row r="77" spans="7:13">
      <c r="G77" s="2" t="s">
        <v>89</v>
      </c>
      <c r="H77" s="28">
        <f>(H15-H16)/$B$6</f>
        <v>6.8711688041919336E-2</v>
      </c>
      <c r="I77" s="28">
        <f>(I15-I16)/$B$6</f>
        <v>7.3003767285371765E-2</v>
      </c>
      <c r="J77" s="28">
        <f>(J15-J16)/$B$6</f>
        <v>5.82550751536067E-2</v>
      </c>
      <c r="K77" s="28">
        <f>(K15-K16)/$B$6</f>
        <v>6.6776748127228946E-2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Normal="100" workbookViewId="0"/>
  </sheetViews>
  <sheetFormatPr defaultRowHeight="15"/>
  <cols>
    <col min="1" max="1" width="25"/>
    <col min="2" max="6" width="15.140625"/>
    <col min="7" max="7" width="22.5703125"/>
    <col min="8" max="12" width="15.140625"/>
    <col min="13" max="13" width="32.140625"/>
    <col min="14" max="26" width="15.140625"/>
    <col min="27" max="1025" width="14.42578125"/>
  </cols>
  <sheetData>
    <row r="1" spans="1:17">
      <c r="A1" s="2"/>
      <c r="B1" s="1">
        <v>1301</v>
      </c>
      <c r="G1" s="6"/>
      <c r="M1" s="6"/>
    </row>
    <row r="2" spans="1:17">
      <c r="A2" s="2"/>
      <c r="B2" t="str">
        <f ca="1">IFERROR(__xludf.dummyfunction("GoogleFinance(""TADAWUL:""&amp;B1,""eps"")"),"0.61")</f>
        <v>0.61</v>
      </c>
      <c r="G2" s="6"/>
      <c r="M2" s="6"/>
    </row>
    <row r="3" spans="1:17">
      <c r="A3" s="2"/>
      <c r="G3" s="6"/>
      <c r="M3" s="6"/>
    </row>
    <row r="4" spans="1:17">
      <c r="A4" s="2" t="str">
        <f ca="1">IFERROR(__xludf.dummyfunction("GOOGLEFINANCE(""TADAWUL:1301"")"),"15.56")</f>
        <v>15.56</v>
      </c>
      <c r="G4" s="6"/>
      <c r="M4" s="6"/>
    </row>
    <row r="5" spans="1:17">
      <c r="A5" s="2" t="s">
        <v>0</v>
      </c>
      <c r="B5" s="3" t="str">
        <f ca="1">IFERROR(__xludf.dummyfunction("GoogleFinance(""TADAWUL:""&amp;B1,""marketcap"")/1000"),"682,695.02")</f>
        <v>682,695.02</v>
      </c>
      <c r="C5" s="6">
        <f ca="1">H11/1000/B7</f>
        <v>15.726974358974358</v>
      </c>
      <c r="D5" s="6">
        <f ca="1">100/C5</f>
        <v>6.3585021325437925</v>
      </c>
      <c r="G5" s="6"/>
      <c r="M5" s="6"/>
    </row>
    <row r="6" spans="1:17">
      <c r="A6" s="2" t="s">
        <v>1</v>
      </c>
      <c r="C6" s="28" t="e">
        <f>H20/B6</f>
        <v>#DIV/0!</v>
      </c>
      <c r="G6" s="6"/>
      <c r="M6" s="6"/>
    </row>
    <row r="7" spans="1:17">
      <c r="A7" s="2" t="s">
        <v>2</v>
      </c>
      <c r="B7" s="5" t="str">
        <f ca="1">IFERROR(__xludf.dummyfunction("GoogleFinance(""TADAWUL:""&amp;B1,""shares"")/1000000"),"43.875")</f>
        <v>43.875</v>
      </c>
      <c r="G7" s="6"/>
      <c r="M7" s="6"/>
    </row>
    <row r="8" spans="1:17">
      <c r="A8" s="6"/>
      <c r="G8" s="6"/>
      <c r="M8" s="6"/>
    </row>
    <row r="9" spans="1:17">
      <c r="A9" s="6"/>
      <c r="G9" s="6"/>
      <c r="M9" s="6"/>
    </row>
    <row r="10" spans="1:17">
      <c r="A10" s="84" t="s">
        <v>3</v>
      </c>
      <c r="B10" s="85">
        <v>42735</v>
      </c>
      <c r="C10" s="85">
        <v>42369</v>
      </c>
      <c r="D10" s="85">
        <v>42004</v>
      </c>
      <c r="E10" s="85">
        <v>41639</v>
      </c>
      <c r="G10" s="84" t="s">
        <v>4</v>
      </c>
      <c r="H10" s="85">
        <v>42735</v>
      </c>
      <c r="I10" s="85">
        <v>42369</v>
      </c>
      <c r="J10" s="85">
        <v>42004</v>
      </c>
      <c r="K10" s="85">
        <v>41639</v>
      </c>
      <c r="M10" s="84" t="s">
        <v>5</v>
      </c>
      <c r="N10" s="85">
        <v>42735</v>
      </c>
      <c r="O10" s="85">
        <v>42369</v>
      </c>
      <c r="P10" s="85">
        <v>42004</v>
      </c>
      <c r="Q10" s="85">
        <v>41639</v>
      </c>
    </row>
    <row r="11" spans="1:17">
      <c r="A11" s="25" t="s">
        <v>6</v>
      </c>
      <c r="B11" s="56">
        <v>319672</v>
      </c>
      <c r="C11" s="56">
        <v>314712</v>
      </c>
      <c r="D11" s="56">
        <v>259511</v>
      </c>
      <c r="E11" s="56">
        <v>246669</v>
      </c>
      <c r="G11" s="25" t="s">
        <v>7</v>
      </c>
      <c r="H11" s="56">
        <v>690021</v>
      </c>
      <c r="I11" s="56">
        <v>903375</v>
      </c>
      <c r="J11" s="56">
        <v>952272</v>
      </c>
      <c r="K11" s="56">
        <v>1001320</v>
      </c>
      <c r="M11" s="25" t="s">
        <v>8</v>
      </c>
      <c r="N11" s="56">
        <v>81465</v>
      </c>
      <c r="O11" s="56">
        <v>72200</v>
      </c>
      <c r="P11" s="56">
        <v>90314</v>
      </c>
      <c r="Q11" s="56">
        <v>121323</v>
      </c>
    </row>
    <row r="12" spans="1:17">
      <c r="A12" s="25" t="s">
        <v>9</v>
      </c>
      <c r="B12" s="56">
        <v>109818</v>
      </c>
      <c r="C12" s="56">
        <v>95247</v>
      </c>
      <c r="D12" s="56">
        <v>153037</v>
      </c>
      <c r="E12" s="56">
        <v>139215</v>
      </c>
      <c r="G12" s="25" t="s">
        <v>10</v>
      </c>
      <c r="H12" s="56">
        <v>553431</v>
      </c>
      <c r="I12" s="56">
        <v>783058</v>
      </c>
      <c r="J12" s="56">
        <v>824119</v>
      </c>
      <c r="K12" s="56">
        <v>850697</v>
      </c>
      <c r="M12" s="25" t="s">
        <v>11</v>
      </c>
      <c r="N12" s="56">
        <v>16222</v>
      </c>
      <c r="O12" s="56">
        <v>17534</v>
      </c>
      <c r="P12" s="56">
        <v>17995</v>
      </c>
      <c r="Q12" s="56">
        <v>18376</v>
      </c>
    </row>
    <row r="13" spans="1:17">
      <c r="A13" s="25" t="s">
        <v>12</v>
      </c>
      <c r="B13" s="57"/>
      <c r="C13" s="57"/>
      <c r="D13" s="57"/>
      <c r="E13" s="57"/>
      <c r="G13" s="25" t="s">
        <v>13</v>
      </c>
      <c r="H13" s="56">
        <v>136590</v>
      </c>
      <c r="I13" s="56">
        <v>120317</v>
      </c>
      <c r="J13" s="56">
        <v>128153</v>
      </c>
      <c r="K13" s="56">
        <v>150623</v>
      </c>
      <c r="M13" s="25" t="s">
        <v>14</v>
      </c>
      <c r="N13" s="56">
        <v>41399</v>
      </c>
      <c r="O13" s="58">
        <v>-3326</v>
      </c>
      <c r="P13" s="56">
        <v>12488</v>
      </c>
      <c r="Q13" s="58">
        <v>-42928</v>
      </c>
    </row>
    <row r="14" spans="1:17">
      <c r="A14" s="25" t="s">
        <v>15</v>
      </c>
      <c r="B14" s="56">
        <v>151880</v>
      </c>
      <c r="C14" s="56">
        <v>160031</v>
      </c>
      <c r="D14" s="56">
        <v>163516</v>
      </c>
      <c r="E14" s="56">
        <v>131285</v>
      </c>
      <c r="G14" s="25" t="s">
        <v>16</v>
      </c>
      <c r="H14" s="56">
        <v>421</v>
      </c>
      <c r="I14" s="56">
        <v>1387</v>
      </c>
      <c r="J14" s="56">
        <v>2349</v>
      </c>
      <c r="K14" s="56">
        <v>1466</v>
      </c>
      <c r="M14" s="25" t="s">
        <v>9</v>
      </c>
      <c r="N14" s="58">
        <v>-14565</v>
      </c>
      <c r="O14" s="56">
        <v>58503</v>
      </c>
      <c r="P14" s="58">
        <v>-14493</v>
      </c>
      <c r="Q14" s="56">
        <v>11956</v>
      </c>
    </row>
    <row r="15" spans="1:17">
      <c r="A15" s="25" t="s">
        <v>17</v>
      </c>
      <c r="B15" s="57"/>
      <c r="C15" s="57"/>
      <c r="D15" s="57"/>
      <c r="E15" s="57"/>
      <c r="G15" s="25" t="s">
        <v>18</v>
      </c>
      <c r="H15" s="56">
        <v>137011</v>
      </c>
      <c r="I15" s="56">
        <v>121704</v>
      </c>
      <c r="J15" s="56">
        <v>130502</v>
      </c>
      <c r="K15" s="56">
        <v>152089</v>
      </c>
      <c r="M15" s="25" t="s">
        <v>19</v>
      </c>
      <c r="N15" s="58">
        <v>-67</v>
      </c>
      <c r="O15" s="56">
        <v>6360</v>
      </c>
      <c r="P15" s="58">
        <v>-3963</v>
      </c>
      <c r="Q15" s="56">
        <v>2320</v>
      </c>
    </row>
    <row r="16" spans="1:17">
      <c r="A16" s="25" t="s">
        <v>20</v>
      </c>
      <c r="B16" s="56">
        <v>581370</v>
      </c>
      <c r="C16" s="56">
        <v>569990</v>
      </c>
      <c r="D16" s="56">
        <v>576064</v>
      </c>
      <c r="E16" s="56">
        <v>517169</v>
      </c>
      <c r="G16" s="25" t="s">
        <v>21</v>
      </c>
      <c r="H16" s="56">
        <v>42038</v>
      </c>
      <c r="I16" s="56">
        <v>35399</v>
      </c>
      <c r="J16" s="56">
        <v>31800</v>
      </c>
      <c r="K16" s="56">
        <v>28961</v>
      </c>
      <c r="M16" s="25" t="s">
        <v>22</v>
      </c>
      <c r="N16" s="56">
        <v>961</v>
      </c>
      <c r="O16" s="58">
        <v>-18800</v>
      </c>
      <c r="P16" s="56">
        <v>25734</v>
      </c>
      <c r="Q16" s="56">
        <v>20910</v>
      </c>
    </row>
    <row r="17" spans="1:26">
      <c r="A17" s="25" t="s">
        <v>23</v>
      </c>
      <c r="B17" s="56">
        <v>47746</v>
      </c>
      <c r="C17" s="56">
        <v>46483</v>
      </c>
      <c r="D17" s="56">
        <v>67928</v>
      </c>
      <c r="E17" s="56">
        <v>40957</v>
      </c>
      <c r="G17" s="25" t="s">
        <v>11</v>
      </c>
      <c r="H17" s="56">
        <v>2611</v>
      </c>
      <c r="I17" s="56">
        <v>3293</v>
      </c>
      <c r="J17" s="56">
        <v>3118</v>
      </c>
      <c r="K17" s="56">
        <v>1806</v>
      </c>
      <c r="M17" s="25" t="s">
        <v>24</v>
      </c>
      <c r="N17" s="56">
        <v>4057</v>
      </c>
      <c r="O17" s="58">
        <v>-2083</v>
      </c>
      <c r="P17" s="58">
        <v>-2335</v>
      </c>
      <c r="Q17" s="58">
        <v>-8925</v>
      </c>
    </row>
    <row r="18" spans="1:26">
      <c r="A18" s="25" t="s">
        <v>25</v>
      </c>
      <c r="B18" s="56">
        <v>7383</v>
      </c>
      <c r="C18" s="56">
        <v>6337</v>
      </c>
      <c r="D18" s="56">
        <v>4881</v>
      </c>
      <c r="E18" s="56">
        <v>3253</v>
      </c>
      <c r="G18" s="25" t="s">
        <v>26</v>
      </c>
      <c r="H18" s="57"/>
      <c r="I18" s="57"/>
      <c r="J18" s="57"/>
      <c r="K18" s="57"/>
      <c r="M18" s="25" t="s">
        <v>27</v>
      </c>
      <c r="N18" s="58">
        <v>-8931</v>
      </c>
      <c r="O18" s="58">
        <v>-13162</v>
      </c>
      <c r="P18" s="58">
        <v>-50225</v>
      </c>
      <c r="Q18" s="58">
        <v>-32094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44649</v>
      </c>
      <c r="I19" s="56">
        <v>38692</v>
      </c>
      <c r="J19" s="56">
        <v>34918</v>
      </c>
      <c r="K19" s="56">
        <v>30767</v>
      </c>
      <c r="M19" s="25" t="s">
        <v>30</v>
      </c>
      <c r="N19" s="56">
        <v>125</v>
      </c>
      <c r="O19" s="56">
        <v>30</v>
      </c>
      <c r="P19" s="56">
        <v>120</v>
      </c>
      <c r="Q19" s="56">
        <v>640</v>
      </c>
    </row>
    <row r="20" spans="1:26">
      <c r="A20" s="25" t="s">
        <v>31</v>
      </c>
      <c r="B20" s="56">
        <v>526241</v>
      </c>
      <c r="C20" s="56">
        <v>517170</v>
      </c>
      <c r="D20" s="56">
        <v>503255</v>
      </c>
      <c r="E20" s="56">
        <v>472959</v>
      </c>
      <c r="G20" s="25" t="s">
        <v>32</v>
      </c>
      <c r="H20" s="56">
        <v>92362</v>
      </c>
      <c r="I20" s="56">
        <v>83012</v>
      </c>
      <c r="J20" s="56">
        <v>95584</v>
      </c>
      <c r="K20" s="56">
        <v>121322</v>
      </c>
      <c r="M20" s="25" t="s">
        <v>33</v>
      </c>
      <c r="N20" s="57"/>
      <c r="O20" s="57"/>
      <c r="P20" s="57"/>
      <c r="Q20" s="57"/>
    </row>
    <row r="21" spans="1:26">
      <c r="A21" s="25" t="s">
        <v>34</v>
      </c>
      <c r="B21" s="59"/>
      <c r="C21" s="59"/>
      <c r="D21" s="57"/>
      <c r="E21" s="59"/>
      <c r="G21" s="25" t="s">
        <v>35</v>
      </c>
      <c r="H21" s="56">
        <v>10898</v>
      </c>
      <c r="I21" s="56">
        <v>10811</v>
      </c>
      <c r="J21" s="56">
        <v>5270</v>
      </c>
      <c r="K21" s="56">
        <v>11189</v>
      </c>
      <c r="M21" s="25" t="s">
        <v>36</v>
      </c>
      <c r="N21" s="58">
        <v>-72394</v>
      </c>
      <c r="O21" s="58">
        <v>-57038</v>
      </c>
      <c r="P21" s="58">
        <v>-54844</v>
      </c>
      <c r="Q21" s="58">
        <v>-48750</v>
      </c>
    </row>
    <row r="22" spans="1:26">
      <c r="A22" s="25" t="s">
        <v>37</v>
      </c>
      <c r="B22" s="56">
        <v>581370</v>
      </c>
      <c r="C22" s="56">
        <v>569990</v>
      </c>
      <c r="D22" s="56">
        <v>576064</v>
      </c>
      <c r="E22" s="56">
        <v>517169</v>
      </c>
      <c r="G22" s="25" t="s">
        <v>8</v>
      </c>
      <c r="H22" s="56">
        <v>81464</v>
      </c>
      <c r="I22" s="56">
        <v>72201</v>
      </c>
      <c r="J22" s="56">
        <v>90314</v>
      </c>
      <c r="K22" s="56">
        <v>110133</v>
      </c>
      <c r="M22" s="25" t="s">
        <v>38</v>
      </c>
      <c r="N22" s="56">
        <v>184808</v>
      </c>
      <c r="O22" s="56">
        <v>124590</v>
      </c>
      <c r="P22" s="56">
        <v>103799</v>
      </c>
      <c r="Q22" s="56">
        <v>60970</v>
      </c>
    </row>
    <row r="23" spans="1:26">
      <c r="A23" s="6"/>
      <c r="B23" s="4">
        <f>B11+B12</f>
        <v>429490</v>
      </c>
      <c r="C23" s="4">
        <f>C11+C12</f>
        <v>409959</v>
      </c>
      <c r="D23" s="4">
        <f>D11+D12</f>
        <v>412548</v>
      </c>
      <c r="E23" s="4">
        <f>E11+E12</f>
        <v>385884</v>
      </c>
      <c r="G23" s="25" t="s">
        <v>39</v>
      </c>
      <c r="H23" s="56">
        <v>28638</v>
      </c>
      <c r="I23" s="56">
        <v>21943</v>
      </c>
      <c r="J23" s="56">
        <v>49428</v>
      </c>
      <c r="K23" s="56">
        <v>60450</v>
      </c>
      <c r="M23" s="25" t="s">
        <v>40</v>
      </c>
      <c r="N23" s="56">
        <v>233080</v>
      </c>
      <c r="O23" s="56">
        <v>184808</v>
      </c>
      <c r="P23" s="56">
        <v>124590</v>
      </c>
      <c r="Q23" s="56">
        <v>103798</v>
      </c>
    </row>
    <row r="24" spans="1:26">
      <c r="A24" s="6"/>
      <c r="B24" s="6">
        <f>B16/(B22-B20)</f>
        <v>10.545629342088557</v>
      </c>
      <c r="C24" s="6">
        <f>C16/(C22-C20)</f>
        <v>10.791177584248391</v>
      </c>
      <c r="D24" s="6">
        <f>D16/(D22-D20)</f>
        <v>7.9119889024708483</v>
      </c>
      <c r="E24" s="6">
        <f>E16/(E22-E20)</f>
        <v>11.698009500113097</v>
      </c>
      <c r="G24" s="25" t="s">
        <v>41</v>
      </c>
      <c r="H24" s="56">
        <v>8146</v>
      </c>
      <c r="I24" s="56">
        <v>7220</v>
      </c>
      <c r="J24" s="56">
        <v>9031</v>
      </c>
      <c r="K24" s="56">
        <v>12132</v>
      </c>
      <c r="M24" s="2" t="s">
        <v>42</v>
      </c>
      <c r="N24" s="12">
        <f>SUM(N11:N17)</f>
        <v>129472</v>
      </c>
      <c r="O24" s="12">
        <f>SUM(O11:O17)</f>
        <v>130388</v>
      </c>
      <c r="P24" s="12">
        <f>SUM(P11:P17)</f>
        <v>125740</v>
      </c>
      <c r="Q24" s="12">
        <f>SUM(Q11:Q17)</f>
        <v>123032</v>
      </c>
    </row>
    <row r="25" spans="1:26">
      <c r="A25" s="6"/>
      <c r="B25" s="6">
        <f ca="1">B24/B5*1000</f>
        <v>1.5447057665791318E-2</v>
      </c>
      <c r="G25" s="25" t="s">
        <v>43</v>
      </c>
      <c r="H25" s="56">
        <v>72394</v>
      </c>
      <c r="I25" s="56">
        <v>57038</v>
      </c>
      <c r="J25" s="56">
        <v>54844</v>
      </c>
      <c r="K25" s="56">
        <v>48750</v>
      </c>
      <c r="M25" s="2" t="s">
        <v>44</v>
      </c>
      <c r="N25" s="12">
        <f>N18+N19</f>
        <v>-8806</v>
      </c>
      <c r="O25" s="12">
        <f>O18+O19</f>
        <v>-13132</v>
      </c>
      <c r="P25" s="12">
        <f>P18+P19</f>
        <v>-50105</v>
      </c>
      <c r="Q25" s="12">
        <f>Q18+Q19</f>
        <v>-31454</v>
      </c>
    </row>
    <row r="26" spans="1:26">
      <c r="A26" s="6"/>
      <c r="B26" s="4">
        <f>B23-B17</f>
        <v>381744</v>
      </c>
      <c r="C26" s="4">
        <f>C23-C17</f>
        <v>363476</v>
      </c>
      <c r="G26" s="25" t="s">
        <v>45</v>
      </c>
      <c r="H26" s="57"/>
      <c r="I26" s="56">
        <v>1248</v>
      </c>
      <c r="J26" s="56">
        <v>53924</v>
      </c>
      <c r="K26" s="56">
        <v>60273</v>
      </c>
      <c r="M26" s="2" t="s">
        <v>46</v>
      </c>
      <c r="N26" s="12">
        <f>N20+N21</f>
        <v>-72394</v>
      </c>
      <c r="O26" s="12">
        <f>O20+O21</f>
        <v>-57038</v>
      </c>
      <c r="P26" s="12">
        <f>P20+P21</f>
        <v>-54844</v>
      </c>
      <c r="Q26" s="12">
        <f>Q20+Q21</f>
        <v>-48750</v>
      </c>
    </row>
    <row r="27" spans="1:26">
      <c r="A27" s="6"/>
      <c r="B27" s="6">
        <f>B22/90000</f>
        <v>6.4596666666666662</v>
      </c>
      <c r="F27" s="6">
        <f>H20*0.025</f>
        <v>2309.0500000000002</v>
      </c>
      <c r="G27" s="25" t="s">
        <v>47</v>
      </c>
      <c r="H27" s="56">
        <v>29562</v>
      </c>
      <c r="I27" s="56">
        <v>28638</v>
      </c>
      <c r="J27" s="56">
        <v>21943</v>
      </c>
      <c r="K27" s="56">
        <v>49428</v>
      </c>
      <c r="M27" s="2" t="s">
        <v>119</v>
      </c>
      <c r="N27" s="12">
        <f>N24+N18</f>
        <v>120541</v>
      </c>
      <c r="O27" s="12">
        <f>O24+O18</f>
        <v>117226</v>
      </c>
      <c r="P27" s="12">
        <f>P24+P18</f>
        <v>75515</v>
      </c>
      <c r="Q27" s="12">
        <f>Q24+Q18</f>
        <v>90938</v>
      </c>
    </row>
    <row r="28" spans="1:26">
      <c r="A28" s="6"/>
      <c r="G28" s="6"/>
      <c r="M28" s="2" t="s">
        <v>120</v>
      </c>
      <c r="N28" s="12">
        <f>(C11-B11)+(B17-C17)</f>
        <v>-3697</v>
      </c>
      <c r="O28" s="12">
        <f>(D11-C11)+(C17-D17)</f>
        <v>-76646</v>
      </c>
      <c r="P28" s="12">
        <f>(E11-D11)+(D17-E17)</f>
        <v>14129</v>
      </c>
      <c r="Q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0.54985981388788552</v>
      </c>
      <c r="C30" s="24">
        <f t="shared" si="0"/>
        <v>0.5521360023860068</v>
      </c>
      <c r="D30" s="24">
        <f t="shared" si="0"/>
        <v>0.45048987612487501</v>
      </c>
      <c r="E30" s="24">
        <f t="shared" si="0"/>
        <v>0.47696014262262432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0.11806162421143704</v>
      </c>
      <c r="O30" s="26">
        <f t="shared" ref="O30:O42" si="3">O11/I$11</f>
        <v>7.9922512799225132E-2</v>
      </c>
      <c r="P30" s="26">
        <f t="shared" ref="P30:P42" si="4">P11/J$11</f>
        <v>9.4840549758892417E-2</v>
      </c>
      <c r="Q30" s="26">
        <f t="shared" ref="Q30:Q42" si="5">Q11/K$11</f>
        <v>0.12116306475452403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0.18889519583053821</v>
      </c>
      <c r="C31" s="24">
        <f t="shared" si="0"/>
        <v>0.16710293163037948</v>
      </c>
      <c r="D31" s="24">
        <f t="shared" si="0"/>
        <v>0.26565971836462615</v>
      </c>
      <c r="E31" s="24">
        <f t="shared" si="0"/>
        <v>0.26918666818776843</v>
      </c>
      <c r="F31" s="6"/>
      <c r="G31" s="25" t="s">
        <v>10</v>
      </c>
      <c r="H31" s="24">
        <f t="shared" si="1"/>
        <v>0.8020495028412179</v>
      </c>
      <c r="I31" s="24">
        <f t="shared" si="1"/>
        <v>0.86681389234813888</v>
      </c>
      <c r="J31" s="24">
        <f t="shared" si="1"/>
        <v>0.86542395450039489</v>
      </c>
      <c r="K31" s="24">
        <f t="shared" si="1"/>
        <v>0.84957556026045622</v>
      </c>
      <c r="L31" s="6"/>
      <c r="M31" s="25" t="s">
        <v>11</v>
      </c>
      <c r="N31" s="26">
        <f t="shared" si="2"/>
        <v>2.3509429423162483E-2</v>
      </c>
      <c r="O31" s="26">
        <f t="shared" si="3"/>
        <v>1.9409436834094369E-2</v>
      </c>
      <c r="P31" s="26">
        <f t="shared" si="4"/>
        <v>1.8896911806710687E-2</v>
      </c>
      <c r="Q31" s="26">
        <f t="shared" si="5"/>
        <v>1.8351775656133905E-2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</v>
      </c>
      <c r="C32" s="24">
        <f t="shared" si="0"/>
        <v>0</v>
      </c>
      <c r="D32" s="24">
        <f t="shared" si="0"/>
        <v>0</v>
      </c>
      <c r="E32" s="24">
        <f t="shared" si="0"/>
        <v>0</v>
      </c>
      <c r="F32" s="6"/>
      <c r="G32" s="25" t="s">
        <v>13</v>
      </c>
      <c r="H32" s="24">
        <f t="shared" si="1"/>
        <v>0.19795049715878213</v>
      </c>
      <c r="I32" s="24">
        <f t="shared" si="1"/>
        <v>0.13318610765186106</v>
      </c>
      <c r="J32" s="24">
        <f t="shared" si="1"/>
        <v>0.13457604549960517</v>
      </c>
      <c r="K32" s="24">
        <f t="shared" si="1"/>
        <v>0.15042443973954381</v>
      </c>
      <c r="L32" s="6"/>
      <c r="M32" s="25" t="s">
        <v>14</v>
      </c>
      <c r="N32" s="26">
        <f t="shared" si="2"/>
        <v>5.9996724737363068E-2</v>
      </c>
      <c r="O32" s="26">
        <f t="shared" si="3"/>
        <v>-3.68174899681749E-3</v>
      </c>
      <c r="P32" s="26">
        <f t="shared" si="4"/>
        <v>1.3113900230186333E-2</v>
      </c>
      <c r="Q32" s="26">
        <f t="shared" si="5"/>
        <v>-4.2871409739144328E-2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0.26124499028157627</v>
      </c>
      <c r="C33" s="24">
        <f t="shared" si="0"/>
        <v>0.28076106598361372</v>
      </c>
      <c r="D33" s="24">
        <f t="shared" si="0"/>
        <v>0.28385040551049884</v>
      </c>
      <c r="E33" s="24">
        <f t="shared" si="0"/>
        <v>0.25385318918960725</v>
      </c>
      <c r="F33" s="6"/>
      <c r="G33" s="25" t="s">
        <v>16</v>
      </c>
      <c r="H33" s="24">
        <f t="shared" si="1"/>
        <v>6.1012635847314787E-4</v>
      </c>
      <c r="I33" s="24">
        <f t="shared" si="1"/>
        <v>1.5353535353535353E-3</v>
      </c>
      <c r="J33" s="24">
        <f t="shared" si="1"/>
        <v>2.4667321941630122E-3</v>
      </c>
      <c r="K33" s="24">
        <f t="shared" si="1"/>
        <v>1.4640674309910917E-3</v>
      </c>
      <c r="L33" s="6"/>
      <c r="M33" s="25" t="s">
        <v>9</v>
      </c>
      <c r="N33" s="26">
        <f t="shared" si="2"/>
        <v>-2.110805323316247E-2</v>
      </c>
      <c r="O33" s="26">
        <f t="shared" si="3"/>
        <v>6.4760481527604816E-2</v>
      </c>
      <c r="P33" s="26">
        <f t="shared" si="4"/>
        <v>-1.521939109834165E-2</v>
      </c>
      <c r="Q33" s="26">
        <f t="shared" si="5"/>
        <v>1.1940238884672232E-2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0</v>
      </c>
      <c r="E34" s="24">
        <f t="shared" si="0"/>
        <v>0</v>
      </c>
      <c r="F34" s="6"/>
      <c r="G34" s="25" t="s">
        <v>18</v>
      </c>
      <c r="H34" s="24">
        <f t="shared" si="1"/>
        <v>0.19856062351725529</v>
      </c>
      <c r="I34" s="24">
        <f t="shared" si="1"/>
        <v>0.13472146118721462</v>
      </c>
      <c r="J34" s="24">
        <f t="shared" si="1"/>
        <v>0.13704277769376816</v>
      </c>
      <c r="K34" s="24">
        <f t="shared" si="1"/>
        <v>0.1518885071705349</v>
      </c>
      <c r="L34" s="6"/>
      <c r="M34" s="25" t="s">
        <v>19</v>
      </c>
      <c r="N34" s="26">
        <f t="shared" si="2"/>
        <v>-9.7098494103802643E-5</v>
      </c>
      <c r="O34" s="26">
        <f t="shared" si="3"/>
        <v>7.0402656704026565E-3</v>
      </c>
      <c r="P34" s="26">
        <f t="shared" si="4"/>
        <v>-4.1616260900246985E-3</v>
      </c>
      <c r="Q34" s="26">
        <f t="shared" si="5"/>
        <v>2.3169416370391084E-3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6.0922783509487391E-2</v>
      </c>
      <c r="I35" s="24">
        <f t="shared" si="1"/>
        <v>3.9185277431852773E-2</v>
      </c>
      <c r="J35" s="24">
        <f t="shared" si="1"/>
        <v>3.339382025303695E-2</v>
      </c>
      <c r="K35" s="24">
        <f t="shared" si="1"/>
        <v>2.8922821875124835E-2</v>
      </c>
      <c r="L35" s="6"/>
      <c r="M35" s="25" t="s">
        <v>22</v>
      </c>
      <c r="N35" s="26">
        <f t="shared" si="2"/>
        <v>1.3927112363246916E-3</v>
      </c>
      <c r="O35" s="26">
        <f t="shared" si="3"/>
        <v>-2.0810848208108482E-2</v>
      </c>
      <c r="P35" s="26">
        <f t="shared" si="4"/>
        <v>2.7023791521750089E-2</v>
      </c>
      <c r="Q35" s="26">
        <f t="shared" si="5"/>
        <v>2.0882435185555066E-2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8.2126700724151569E-2</v>
      </c>
      <c r="C36" s="24">
        <f t="shared" si="0"/>
        <v>8.1550553518482782E-2</v>
      </c>
      <c r="D36" s="24">
        <f t="shared" si="0"/>
        <v>0.11791745361626486</v>
      </c>
      <c r="E36" s="24">
        <f t="shared" si="0"/>
        <v>7.9194615299834292E-2</v>
      </c>
      <c r="F36" s="6"/>
      <c r="G36" s="25" t="s">
        <v>11</v>
      </c>
      <c r="H36" s="24">
        <f t="shared" si="1"/>
        <v>3.7839428075377417E-3</v>
      </c>
      <c r="I36" s="24">
        <f t="shared" si="1"/>
        <v>3.6452193164521933E-3</v>
      </c>
      <c r="J36" s="24">
        <f t="shared" si="1"/>
        <v>3.2742745770116101E-3</v>
      </c>
      <c r="K36" s="24">
        <f t="shared" si="1"/>
        <v>1.8036192226261335E-3</v>
      </c>
      <c r="L36" s="6"/>
      <c r="M36" s="25" t="s">
        <v>24</v>
      </c>
      <c r="N36" s="26">
        <f t="shared" si="2"/>
        <v>5.8795312026735415E-3</v>
      </c>
      <c r="O36" s="26">
        <f t="shared" si="3"/>
        <v>-2.3057977030579769E-3</v>
      </c>
      <c r="P36" s="26">
        <f t="shared" si="4"/>
        <v>-2.4520305122906062E-3</v>
      </c>
      <c r="Q36" s="26">
        <f t="shared" si="5"/>
        <v>-8.913234530419846E-3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1.2699313690076887E-2</v>
      </c>
      <c r="C37" s="24">
        <f t="shared" si="0"/>
        <v>1.1117738907700136E-2</v>
      </c>
      <c r="D37" s="24">
        <f t="shared" si="0"/>
        <v>8.4730168870125536E-3</v>
      </c>
      <c r="E37" s="24">
        <f t="shared" si="0"/>
        <v>6.2900135158913241E-3</v>
      </c>
      <c r="F37" s="6"/>
      <c r="G37" s="25" t="s">
        <v>26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6"/>
      <c r="M37" s="25" t="s">
        <v>27</v>
      </c>
      <c r="N37" s="26">
        <f t="shared" si="2"/>
        <v>-1.2943084340911364E-2</v>
      </c>
      <c r="O37" s="26">
        <f t="shared" si="3"/>
        <v>-1.4569807665698077E-2</v>
      </c>
      <c r="P37" s="26">
        <f t="shared" si="4"/>
        <v>-5.2742283717257255E-2</v>
      </c>
      <c r="Q37" s="26">
        <f t="shared" si="5"/>
        <v>-3.2051691766867736E-2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6.4706726317025134E-2</v>
      </c>
      <c r="I38" s="24">
        <f t="shared" si="1"/>
        <v>4.2830496748304969E-2</v>
      </c>
      <c r="J38" s="24">
        <f t="shared" si="1"/>
        <v>3.6668094830048556E-2</v>
      </c>
      <c r="K38" s="24">
        <f t="shared" si="1"/>
        <v>3.0726441097750967E-2</v>
      </c>
      <c r="L38" s="6"/>
      <c r="M38" s="25" t="s">
        <v>30</v>
      </c>
      <c r="N38" s="26">
        <f t="shared" si="2"/>
        <v>1.8115390691007954E-4</v>
      </c>
      <c r="O38" s="26">
        <f t="shared" si="3"/>
        <v>3.3208800332088001E-5</v>
      </c>
      <c r="P38" s="26">
        <f t="shared" si="4"/>
        <v>1.2601441604919602E-4</v>
      </c>
      <c r="Q38" s="26">
        <f t="shared" si="5"/>
        <v>6.3915631366596093E-4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0.90517398558577156</v>
      </c>
      <c r="C39" s="24">
        <f t="shared" si="0"/>
        <v>0.90733170757381709</v>
      </c>
      <c r="D39" s="24">
        <f t="shared" si="0"/>
        <v>0.87360952949672255</v>
      </c>
      <c r="E39" s="24">
        <f t="shared" si="0"/>
        <v>0.91451537118427439</v>
      </c>
      <c r="F39" s="6"/>
      <c r="G39" s="25" t="s">
        <v>32</v>
      </c>
      <c r="H39" s="24">
        <f t="shared" si="1"/>
        <v>0.13385389720023014</v>
      </c>
      <c r="I39" s="24">
        <f t="shared" si="1"/>
        <v>9.189096443890965E-2</v>
      </c>
      <c r="J39" s="24">
        <f t="shared" si="1"/>
        <v>0.10037468286371962</v>
      </c>
      <c r="K39" s="24">
        <f t="shared" si="1"/>
        <v>0.12116206607278393</v>
      </c>
      <c r="L39" s="6"/>
      <c r="M39" s="25" t="s">
        <v>33</v>
      </c>
      <c r="N39" s="26">
        <f t="shared" si="2"/>
        <v>0</v>
      </c>
      <c r="O39" s="26">
        <f t="shared" si="3"/>
        <v>0</v>
      </c>
      <c r="P39" s="26">
        <f t="shared" si="4"/>
        <v>0</v>
      </c>
      <c r="Q39" s="26">
        <f t="shared" si="5"/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1.5793722220048375E-2</v>
      </c>
      <c r="I40" s="24">
        <f t="shared" si="1"/>
        <v>1.1967344679673447E-2</v>
      </c>
      <c r="J40" s="24">
        <f t="shared" si="1"/>
        <v>5.5341331048271922E-3</v>
      </c>
      <c r="K40" s="24">
        <f t="shared" si="1"/>
        <v>1.1174249990013183E-2</v>
      </c>
      <c r="L40" s="6"/>
      <c r="M40" s="25" t="s">
        <v>36</v>
      </c>
      <c r="N40" s="26">
        <f t="shared" si="2"/>
        <v>-0.10491564749478639</v>
      </c>
      <c r="O40" s="26">
        <f t="shared" si="3"/>
        <v>-6.3138785111387846E-2</v>
      </c>
      <c r="P40" s="26">
        <f t="shared" si="4"/>
        <v>-5.7592788615017557E-2</v>
      </c>
      <c r="Q40" s="26">
        <f t="shared" si="5"/>
        <v>-4.868573483002437E-2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0.11806017498018176</v>
      </c>
      <c r="I41" s="24">
        <f t="shared" si="1"/>
        <v>7.9923619759236203E-2</v>
      </c>
      <c r="J41" s="24">
        <f t="shared" si="1"/>
        <v>9.4840549758892417E-2</v>
      </c>
      <c r="K41" s="24">
        <f t="shared" si="1"/>
        <v>0.10998781608277074</v>
      </c>
      <c r="L41" s="6"/>
      <c r="M41" s="25" t="s">
        <v>38</v>
      </c>
      <c r="N41" s="26">
        <f t="shared" si="2"/>
        <v>0.26782952982590386</v>
      </c>
      <c r="O41" s="26">
        <f t="shared" si="3"/>
        <v>0.13791614777916147</v>
      </c>
      <c r="P41" s="26">
        <f t="shared" si="4"/>
        <v>0.10900141976242082</v>
      </c>
      <c r="Q41" s="26">
        <f t="shared" si="5"/>
        <v>6.0889625694083807E-2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4.1503084688726863E-2</v>
      </c>
      <c r="I42" s="24">
        <f t="shared" si="1"/>
        <v>2.4290023522900234E-2</v>
      </c>
      <c r="J42" s="24">
        <f t="shared" si="1"/>
        <v>5.1905337970663844E-2</v>
      </c>
      <c r="K42" s="24">
        <f t="shared" si="1"/>
        <v>6.0370311189230218E-2</v>
      </c>
      <c r="L42" s="6"/>
      <c r="M42" s="25" t="s">
        <v>40</v>
      </c>
      <c r="N42" s="26">
        <f t="shared" si="2"/>
        <v>0.33778682098081075</v>
      </c>
      <c r="O42" s="26">
        <f t="shared" si="3"/>
        <v>0.20457506572575065</v>
      </c>
      <c r="P42" s="26">
        <f t="shared" si="4"/>
        <v>0.13083446746307778</v>
      </c>
      <c r="Q42" s="26">
        <f t="shared" si="5"/>
        <v>0.10366116725921783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1.1805437805516064E-2</v>
      </c>
      <c r="I43" s="24">
        <f t="shared" si="1"/>
        <v>7.9922512799225128E-3</v>
      </c>
      <c r="J43" s="24">
        <f t="shared" si="1"/>
        <v>9.4836349278357452E-3</v>
      </c>
      <c r="K43" s="24">
        <f t="shared" si="1"/>
        <v>1.2116006870930372E-2</v>
      </c>
      <c r="L43" s="6"/>
      <c r="M43" s="2" t="s">
        <v>49</v>
      </c>
      <c r="N43" s="26">
        <f>N24/H11</f>
        <v>0.18763486908369456</v>
      </c>
      <c r="O43" s="26">
        <f>O24/I11</f>
        <v>0.14433430192334301</v>
      </c>
      <c r="P43" s="26">
        <f>P24/J11</f>
        <v>0.13204210561688257</v>
      </c>
      <c r="Q43" s="26">
        <f>Q24/K11</f>
        <v>0.12286981184836017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0.10491564749478639</v>
      </c>
      <c r="I44" s="24">
        <f t="shared" si="1"/>
        <v>6.3138785111387846E-2</v>
      </c>
      <c r="J44" s="24">
        <f t="shared" si="1"/>
        <v>5.7592788615017557E-2</v>
      </c>
      <c r="K44" s="24">
        <f t="shared" si="1"/>
        <v>4.868573483002437E-2</v>
      </c>
      <c r="L44" s="6"/>
      <c r="M44" s="2" t="s">
        <v>50</v>
      </c>
      <c r="N44" s="26">
        <f>N24/B16</f>
        <v>0.22270154978757073</v>
      </c>
      <c r="O44" s="26">
        <f>O24/C16</f>
        <v>0.22875489043667432</v>
      </c>
      <c r="P44" s="26">
        <f>P24/D16</f>
        <v>0.2182743584046217</v>
      </c>
      <c r="Q44" s="26">
        <f>Q24/E16</f>
        <v>0.23789515612884762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1.381486093814861E-3</v>
      </c>
      <c r="J45" s="24">
        <f t="shared" si="1"/>
        <v>5.662667809197372E-2</v>
      </c>
      <c r="K45" s="24">
        <f t="shared" si="1"/>
        <v>6.0193544521231976E-2</v>
      </c>
      <c r="L45" s="6"/>
      <c r="M45" s="2" t="s">
        <v>51</v>
      </c>
      <c r="N45" s="26">
        <f>N24/B20</f>
        <v>0.2460317611132542</v>
      </c>
      <c r="O45" s="26">
        <f>O24/C20</f>
        <v>0.25211825898640677</v>
      </c>
      <c r="P45" s="26">
        <f>P24/D20</f>
        <v>0.24985345401436648</v>
      </c>
      <c r="Q45" s="26">
        <f>Q24/E20</f>
        <v>0.26013248505684428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4.284217436860617E-2</v>
      </c>
      <c r="I46" s="24">
        <f t="shared" si="1"/>
        <v>3.1701120797011206E-2</v>
      </c>
      <c r="J46" s="24">
        <f t="shared" si="1"/>
        <v>2.3042786094729237E-2</v>
      </c>
      <c r="K46" s="24">
        <f t="shared" si="1"/>
        <v>4.9362841049814248E-2</v>
      </c>
      <c r="L46" s="6"/>
      <c r="M46" s="2" t="s">
        <v>52</v>
      </c>
      <c r="N46" s="26">
        <f>N24/H22</f>
        <v>1.5893155258764609</v>
      </c>
      <c r="O46" s="26">
        <f>O24/I22</f>
        <v>1.8059029653328902</v>
      </c>
      <c r="P46" s="26">
        <f>P24/J22</f>
        <v>1.3922536926722324</v>
      </c>
      <c r="Q46" s="26">
        <f>Q24/K22</f>
        <v>1.1171220251877276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2.3485279979684015</v>
      </c>
      <c r="O47" s="26">
        <f>O24/(C22-C20)</f>
        <v>2.4685346459674364</v>
      </c>
      <c r="P47" s="26">
        <f>P24/(D22-D20)</f>
        <v>1.7269843013913115</v>
      </c>
      <c r="Q47" s="26">
        <f>Q24/(E22-E20)</f>
        <v>2.7828997964261477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1.7884355057048926</v>
      </c>
      <c r="O48" s="26">
        <f>O24/I25</f>
        <v>2.2859847820751078</v>
      </c>
      <c r="P48" s="26">
        <f>P24/J25</f>
        <v>2.2926847057107431</v>
      </c>
      <c r="Q48" s="26">
        <f>Q24/K25</f>
        <v>2.5237333333333334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14.496920837532191</v>
      </c>
      <c r="O49" s="26">
        <f>O24/(O18*-1)</f>
        <v>9.9063972040723289</v>
      </c>
      <c r="P49" s="26">
        <f>P24/(P18*-1)</f>
        <v>2.5035340965654553</v>
      </c>
      <c r="Q49" s="26">
        <f>Q24/(Q18*-1)</f>
        <v>3.8334891256932759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G50" s="2" t="s">
        <v>56</v>
      </c>
      <c r="H50" s="28">
        <f>LN(H22/I22)</f>
        <v>0.12070730865098746</v>
      </c>
      <c r="I50" s="28">
        <f>LN(I15/J15)</f>
        <v>-6.979668515498165E-2</v>
      </c>
      <c r="J50" s="28">
        <f>LN(J22/K22)</f>
        <v>-0.19839623917438717</v>
      </c>
      <c r="M50" s="2" t="s">
        <v>121</v>
      </c>
      <c r="N50" s="32" t="e">
        <f>(H15-H16-N28-N25)/($B$6)</f>
        <v>#DIV/0!</v>
      </c>
      <c r="O50" s="32" t="e">
        <f>(I15-I16-O28-O25)/($B$6)</f>
        <v>#DIV/0!</v>
      </c>
      <c r="P50" s="32" t="e">
        <f>(J15-J16-P28-P25)/($B$6)</f>
        <v>#DIV/0!</v>
      </c>
    </row>
    <row r="51" spans="1:26">
      <c r="A51" s="29" t="s">
        <v>57</v>
      </c>
      <c r="B51" s="30">
        <f>B23/B17</f>
        <v>8.9953085075189545</v>
      </c>
      <c r="C51" s="30">
        <f>C23/C17</f>
        <v>8.8195469311361148</v>
      </c>
      <c r="D51" s="30">
        <f>D23/D17</f>
        <v>6.0733129195618893</v>
      </c>
      <c r="E51" s="30">
        <f>E23/E17</f>
        <v>9.4216861586541985</v>
      </c>
      <c r="G51" s="29" t="s">
        <v>58</v>
      </c>
      <c r="H51" s="63">
        <f>H13/H11</f>
        <v>0.19795049715878213</v>
      </c>
      <c r="I51" s="63">
        <f>I13/I11</f>
        <v>0.13318610765186106</v>
      </c>
      <c r="J51" s="63">
        <f>J13/J11</f>
        <v>0.13457604549960517</v>
      </c>
      <c r="K51" s="63">
        <f>K13/K11</f>
        <v>0.15042443973954381</v>
      </c>
      <c r="M51" s="2" t="s">
        <v>59</v>
      </c>
      <c r="N51" s="32">
        <f>(N11-N24-N25)/B16</f>
        <v>-6.7428659889571183E-2</v>
      </c>
      <c r="O51" s="32">
        <f>(O11-O24-O25)/C16</f>
        <v>-7.9047000824575872E-2</v>
      </c>
      <c r="P51" s="32">
        <f>(P11-P24-P25)/D16</f>
        <v>2.5481543717364736E-2</v>
      </c>
      <c r="Q51" s="32">
        <f>(Q11-Q24-Q25)/E16</f>
        <v>5.7515048272421584E-2</v>
      </c>
    </row>
    <row r="52" spans="1:26">
      <c r="A52" s="29" t="s">
        <v>60</v>
      </c>
      <c r="B52" s="31">
        <f>H20/B16</f>
        <v>0.1588695667131087</v>
      </c>
      <c r="C52" s="31">
        <f>I20/C16</f>
        <v>0.14563764276566254</v>
      </c>
      <c r="D52" s="31">
        <f>J20/D16</f>
        <v>0.16592600822130874</v>
      </c>
      <c r="E52" s="31">
        <f>K20/E16</f>
        <v>0.23458869344450267</v>
      </c>
      <c r="F52" s="31"/>
      <c r="G52" s="29" t="s">
        <v>61</v>
      </c>
      <c r="H52" s="63">
        <f>H16/H11</f>
        <v>6.0922783509487391E-2</v>
      </c>
      <c r="I52" s="63">
        <f>I16/I11</f>
        <v>3.9185277431852773E-2</v>
      </c>
      <c r="J52" s="63">
        <f>J16/J11</f>
        <v>3.339382025303695E-2</v>
      </c>
      <c r="K52" s="63">
        <f>K16/K11</f>
        <v>2.8922821875124835E-2</v>
      </c>
      <c r="M52" s="6"/>
      <c r="N52" s="4">
        <f>N24+N18</f>
        <v>120541</v>
      </c>
      <c r="O52" s="4">
        <f>O24+O18</f>
        <v>117226</v>
      </c>
      <c r="P52" s="4">
        <f>P24+P18</f>
        <v>75515</v>
      </c>
      <c r="Q52" s="4">
        <f>Q24+Q18</f>
        <v>90938</v>
      </c>
      <c r="R52" s="4">
        <f>AVERAGE(N52:Q52)</f>
        <v>101055</v>
      </c>
    </row>
    <row r="53" spans="1:26">
      <c r="A53" s="29" t="s">
        <v>62</v>
      </c>
      <c r="B53" s="31">
        <f>H20/B20</f>
        <v>0.17551274036040521</v>
      </c>
      <c r="C53" s="31">
        <f>I20/C20</f>
        <v>0.16051201732505752</v>
      </c>
      <c r="D53" s="31">
        <f>J20/D20</f>
        <v>0.1899315456378973</v>
      </c>
      <c r="E53" s="31">
        <f>K20/E20</f>
        <v>0.25651694967217031</v>
      </c>
      <c r="G53" s="29" t="s">
        <v>11</v>
      </c>
      <c r="H53" s="71">
        <f>H17/H11</f>
        <v>3.7839428075377417E-3</v>
      </c>
      <c r="I53" s="71">
        <f>I17/I11</f>
        <v>3.6452193164521933E-3</v>
      </c>
      <c r="J53" s="71">
        <f>J17/J11</f>
        <v>3.2742745770116101E-3</v>
      </c>
      <c r="K53" s="71">
        <f>K17/K11</f>
        <v>1.8036192226261335E-3</v>
      </c>
      <c r="M53" s="6"/>
      <c r="N53" s="28">
        <f>LN(N52/O52)</f>
        <v>2.788624847900887E-2</v>
      </c>
      <c r="O53" s="28">
        <f>LN(O52/P52)</f>
        <v>0.43977238352449988</v>
      </c>
      <c r="P53" s="28">
        <f>LN(P52/Q52)</f>
        <v>-0.18584664361417816</v>
      </c>
    </row>
    <row r="54" spans="1:26">
      <c r="A54" s="29" t="s">
        <v>63</v>
      </c>
      <c r="B54" s="30">
        <f>H11/B12</f>
        <v>6.2833142107851172</v>
      </c>
      <c r="C54" s="30">
        <f>I11/C12</f>
        <v>9.4845506945100642</v>
      </c>
      <c r="D54" s="30">
        <f>J11/D12</f>
        <v>6.2224952135758018</v>
      </c>
      <c r="E54" s="30">
        <f>K11/E12</f>
        <v>7.1926157382465972</v>
      </c>
      <c r="G54" s="29" t="s">
        <v>64</v>
      </c>
      <c r="H54" s="63">
        <f>H25/H22</f>
        <v>0.88866247667681431</v>
      </c>
      <c r="I54" s="63">
        <f>I25/I22</f>
        <v>0.78998905832329192</v>
      </c>
      <c r="J54" s="63">
        <f>J25/J22</f>
        <v>0.60725911818765643</v>
      </c>
      <c r="K54" s="63">
        <f>K25/K22</f>
        <v>0.44264661817983708</v>
      </c>
      <c r="M54" s="6"/>
    </row>
    <row r="55" spans="1:26">
      <c r="A55" s="29" t="s">
        <v>65</v>
      </c>
      <c r="B55" s="31">
        <f>(B22-B20)/B16</f>
        <v>9.4826014414228457E-2</v>
      </c>
      <c r="C55" s="31">
        <f>(C22-C20)/C16</f>
        <v>9.2668292426182922E-2</v>
      </c>
      <c r="D55" s="31">
        <f>(D22-D20)/D16</f>
        <v>0.12639047050327742</v>
      </c>
      <c r="E55" s="31">
        <f>(E22-E20)/E16</f>
        <v>8.5484628815725619E-2</v>
      </c>
      <c r="G55" s="29" t="s">
        <v>66</v>
      </c>
      <c r="H55" s="63">
        <f>H22/H11</f>
        <v>0.11806017498018176</v>
      </c>
      <c r="I55" s="63">
        <f>I22/I11</f>
        <v>7.9923619759236203E-2</v>
      </c>
      <c r="J55" s="63">
        <f>J22/J11</f>
        <v>9.4840549758892417E-2</v>
      </c>
      <c r="K55" s="63">
        <f>K22/K11</f>
        <v>0.10998781608277074</v>
      </c>
      <c r="L55" s="31"/>
      <c r="M55" s="6"/>
    </row>
    <row r="56" spans="1:26">
      <c r="A56" s="29" t="s">
        <v>67</v>
      </c>
      <c r="B56" s="31">
        <f>(B22-B20)/B20</f>
        <v>0.1047599863940666</v>
      </c>
      <c r="C56" s="31">
        <f>(C22-C20)/C20</f>
        <v>0.10213276098768297</v>
      </c>
      <c r="D56" s="31">
        <f>(D22-D20)/D20</f>
        <v>0.14467615821005256</v>
      </c>
      <c r="E56" s="31">
        <f>(E22-E20)/E20</f>
        <v>9.3475332956979351E-2</v>
      </c>
      <c r="G56" s="33" t="s">
        <v>68</v>
      </c>
      <c r="H56" s="34">
        <f>H13/B16</f>
        <v>0.23494504360390114</v>
      </c>
      <c r="I56" s="34">
        <f>I13/C16</f>
        <v>0.21108615940630537</v>
      </c>
      <c r="J56" s="34">
        <f>J13/D16</f>
        <v>0.22246312909676702</v>
      </c>
      <c r="K56" s="34">
        <f>K13/E16</f>
        <v>0.29124522158133997</v>
      </c>
      <c r="M56" s="6"/>
    </row>
    <row r="57" spans="1:26">
      <c r="A57" s="29" t="s">
        <v>69</v>
      </c>
      <c r="B57" s="30">
        <f>H11/B16</f>
        <v>1.1868878683110584</v>
      </c>
      <c r="C57" s="30">
        <f>I11/C16</f>
        <v>1.5848962262495834</v>
      </c>
      <c r="D57" s="30">
        <f>J11/D16</f>
        <v>1.6530663259637819</v>
      </c>
      <c r="E57" s="30">
        <f>K11/E16</f>
        <v>1.9361562661335077</v>
      </c>
      <c r="G57" s="33" t="s">
        <v>70</v>
      </c>
      <c r="H57" s="35">
        <f ca="1">H25/$B$5</f>
        <v>0.10604149419458193</v>
      </c>
      <c r="I57" s="35">
        <f ca="1">I25/$B$5</f>
        <v>8.3548287784492692E-2</v>
      </c>
      <c r="J57" s="35">
        <f ca="1">J25/$B$5</f>
        <v>8.0334554073647702E-2</v>
      </c>
      <c r="K57" s="35">
        <f ca="1">K25/$B$5</f>
        <v>7.1408167002595099E-2</v>
      </c>
      <c r="M57" s="6"/>
    </row>
    <row r="58" spans="1:26">
      <c r="A58" s="29" t="s">
        <v>71</v>
      </c>
      <c r="B58" s="30">
        <f>B16/B20</f>
        <v>1.1047599863940667</v>
      </c>
      <c r="C58" s="30">
        <f>C16/C20</f>
        <v>1.102132760987683</v>
      </c>
      <c r="D58" s="30">
        <f>D16/D20</f>
        <v>1.1446761582100526</v>
      </c>
      <c r="E58" s="30">
        <f>E16/E20</f>
        <v>1.0934753329569793</v>
      </c>
      <c r="G58" s="36" t="s">
        <v>72</v>
      </c>
      <c r="H58" s="37">
        <f ca="1">H22/$B$7/1000</f>
        <v>1.8567293447293447</v>
      </c>
      <c r="I58" s="37">
        <f ca="1">I22/$B$7/1000</f>
        <v>1.6456068376068376</v>
      </c>
      <c r="J58" s="37">
        <f ca="1">J22/$B$7/1000</f>
        <v>2.0584387464387466</v>
      </c>
      <c r="K58" s="37">
        <f ca="1">K22/$B$7/1000</f>
        <v>2.5101538461538464</v>
      </c>
      <c r="M58" s="6"/>
    </row>
    <row r="59" spans="1:26">
      <c r="A59" s="6"/>
      <c r="G59" s="36" t="s">
        <v>73</v>
      </c>
      <c r="H59" s="37">
        <f ca="1">B20/$B$7/1000</f>
        <v>11.994096866096866</v>
      </c>
      <c r="I59" s="37">
        <f ca="1">C20/$B$7/1000</f>
        <v>11.787350427350427</v>
      </c>
      <c r="J59" s="37">
        <f ca="1">D20/$B$7/1000</f>
        <v>11.470199430199431</v>
      </c>
      <c r="K59" s="37">
        <f ca="1">E20/$B$7/1000</f>
        <v>10.779692307692308</v>
      </c>
      <c r="L59" s="65"/>
      <c r="M59" s="6"/>
    </row>
    <row r="60" spans="1:26">
      <c r="A60" s="6"/>
      <c r="G60" s="33" t="s">
        <v>74</v>
      </c>
      <c r="H60" s="38">
        <f ca="1">SQRT(22.5*H58*H59)</f>
        <v>22.384599869847737</v>
      </c>
      <c r="I60" s="38">
        <f ca="1">SQRT(22.5*I58*I59)</f>
        <v>20.891152442160873</v>
      </c>
      <c r="J60" s="38">
        <f ca="1">SQRT(22.5*J58*J59)</f>
        <v>23.048661914985395</v>
      </c>
      <c r="K60" s="38">
        <f ca="1">SQRT(22.5*K58*K59)</f>
        <v>24.674286968349254</v>
      </c>
      <c r="M60" s="6"/>
    </row>
    <row r="61" spans="1:26">
      <c r="A61" s="6"/>
      <c r="G61" s="33" t="s">
        <v>75</v>
      </c>
      <c r="H61" s="39">
        <f ca="1">H58-(B20*0.08/1000/$B$7)</f>
        <v>0.89720159544159539</v>
      </c>
      <c r="I61" s="39">
        <f ca="1">I58-(C20*0.08/1000/$B$7)</f>
        <v>0.70261880341880345</v>
      </c>
      <c r="J61" s="39">
        <f ca="1">J58-(D20*0.08/1000/$B$7)</f>
        <v>1.140822792022792</v>
      </c>
      <c r="K61" s="39">
        <f ca="1">K58-(E20*0.08/1000/$B$7)</f>
        <v>1.6477784615384619</v>
      </c>
      <c r="M61" s="6"/>
    </row>
    <row r="62" spans="1:26">
      <c r="A62" s="6"/>
      <c r="G62" s="40" t="s">
        <v>76</v>
      </c>
      <c r="H62" s="41">
        <f ca="1">H25/$B$7/1000</f>
        <v>1.6500056980056979</v>
      </c>
      <c r="I62" s="41">
        <f ca="1">I25/$B$7/1000</f>
        <v>1.3000113960113961</v>
      </c>
      <c r="J62" s="41">
        <f ca="1">J25/$B$7/1000</f>
        <v>1.2500056980056979</v>
      </c>
      <c r="K62" s="41">
        <f ca="1">K25/$B$7/1000</f>
        <v>1.1111111111111112</v>
      </c>
      <c r="M62" s="6"/>
    </row>
    <row r="63" spans="1:26">
      <c r="A63" s="2"/>
      <c r="G63" s="6"/>
      <c r="M63" s="6"/>
    </row>
    <row r="64" spans="1:26">
      <c r="A64" s="6"/>
      <c r="G64" s="2" t="s">
        <v>85</v>
      </c>
      <c r="H64" s="47">
        <f ca="1">SUM(H62:J62)</f>
        <v>4.2000227920227919</v>
      </c>
      <c r="M64" s="6"/>
    </row>
    <row r="65" spans="1:13">
      <c r="A65" s="6"/>
      <c r="G65" s="2" t="s">
        <v>105</v>
      </c>
      <c r="H65" s="6">
        <f>I51/H51</f>
        <v>0.67282532533893269</v>
      </c>
      <c r="I65" s="6">
        <f>J51/I51</f>
        <v>1.0104360572754127</v>
      </c>
      <c r="J65" s="6">
        <f>K51/J51</f>
        <v>1.1177653436100197</v>
      </c>
      <c r="M65" s="6"/>
    </row>
    <row r="66" spans="1:13">
      <c r="A66" s="6"/>
      <c r="G66" s="2" t="s">
        <v>106</v>
      </c>
      <c r="H66" s="6">
        <f>H11/I11</f>
        <v>0.76382565379825651</v>
      </c>
      <c r="I66" s="6">
        <f>I11/J11</f>
        <v>0.94865227582035383</v>
      </c>
      <c r="J66" s="6">
        <f>J11/K11</f>
        <v>0.95101665801142488</v>
      </c>
      <c r="M66" s="6"/>
    </row>
    <row r="67" spans="1:13">
      <c r="A67" s="6"/>
      <c r="G67" s="2" t="s">
        <v>107</v>
      </c>
      <c r="H67" s="6">
        <f>(N13/152738)/(O13/140619)</f>
        <v>-11.459469460659831</v>
      </c>
      <c r="I67" s="6">
        <f>(O13/I11)/(P13/J11)</f>
        <v>-0.2807516400302198</v>
      </c>
      <c r="J67" s="6">
        <f>(P13/J11)/(Q13/K11)</f>
        <v>-0.30588917672591731</v>
      </c>
      <c r="M67" s="6"/>
    </row>
    <row r="68" spans="1:13">
      <c r="A68" s="6"/>
      <c r="G68" s="2" t="s">
        <v>108</v>
      </c>
      <c r="H68" s="6">
        <f t="shared" ref="H68:J69" si="6">H52/I52</f>
        <v>1.5547365618487294</v>
      </c>
      <c r="I68" s="6">
        <f t="shared" si="6"/>
        <v>1.1734290097668334</v>
      </c>
      <c r="J68" s="6">
        <f t="shared" si="6"/>
        <v>1.1545837538679935</v>
      </c>
      <c r="M68" s="6"/>
    </row>
    <row r="69" spans="1:13">
      <c r="A69" s="6"/>
      <c r="G69" s="2" t="s">
        <v>109</v>
      </c>
      <c r="H69" s="6">
        <f t="shared" si="6"/>
        <v>1.0380562811294891</v>
      </c>
      <c r="I69" s="6">
        <f t="shared" si="6"/>
        <v>1.1132906635396289</v>
      </c>
      <c r="J69" s="6">
        <f t="shared" si="6"/>
        <v>1.8153912621557395</v>
      </c>
      <c r="M69" s="6"/>
    </row>
    <row r="70" spans="1:13">
      <c r="A70" s="6"/>
      <c r="G70" s="2" t="s">
        <v>110</v>
      </c>
      <c r="H70" s="6">
        <f>B58/C58</f>
        <v>1.0023837649141554</v>
      </c>
      <c r="I70" s="6">
        <f>C58/D58</f>
        <v>0.96283368276937342</v>
      </c>
      <c r="J70" s="6">
        <f>D58/E58</f>
        <v>1.0468239417112555</v>
      </c>
      <c r="M70" s="6"/>
    </row>
    <row r="71" spans="1:13">
      <c r="A71" s="6"/>
      <c r="G71" s="2" t="s">
        <v>111</v>
      </c>
      <c r="H71" s="6">
        <f>((1-B11)/B16)/((1-C11)/C16)</f>
        <v>0.99587753492063924</v>
      </c>
      <c r="I71" s="6">
        <f>((1-C11)/C16)/((1-D11)/D16)</f>
        <v>1.2256354800283815</v>
      </c>
      <c r="J71" s="6">
        <f>((1-D11)/D16)/((1-E11)/E16)</f>
        <v>0.94450233099765568</v>
      </c>
      <c r="M71" s="6"/>
    </row>
    <row r="72" spans="1:13">
      <c r="A72" s="6"/>
      <c r="G72" s="2" t="s">
        <v>112</v>
      </c>
      <c r="H72" s="6">
        <f>((H13-H16-H17)-N24)/B16</f>
        <v>-6.4556134647470634E-2</v>
      </c>
      <c r="I72" s="6">
        <f>((I13-I16-I17)-O24)/C16</f>
        <v>-8.5550623695152553E-2</v>
      </c>
      <c r="J72" s="6">
        <f>((J13-J16-J17)-P24)/D16</f>
        <v>-5.6426022108654592E-2</v>
      </c>
      <c r="K72" s="6">
        <f>((K13-K16-K17)-Q24)/E16</f>
        <v>-6.141126014900352E-3</v>
      </c>
      <c r="M72" s="6"/>
    </row>
    <row r="73" spans="1:13">
      <c r="A73" s="6"/>
      <c r="G73" s="2" t="s">
        <v>113</v>
      </c>
      <c r="H73" s="6">
        <f>-4.84 + 0.92 *H67  + 0.528 *H65 + 0.404 *H71 + 0.892 *H66 + 0.115 *H69 - 0.172 *H68- 0.327 *H70 + 4.697 *H72</f>
        <v>-14.722830996606291</v>
      </c>
      <c r="I73" s="6">
        <f>-4.84 + 0.92 *I67  + 0.528 *I65 + 0.404 *I71 + 0.892 *I66 + 0.115 *I69 - 0.172 *I68- 0.327 *I70 + 4.697 *I72</f>
        <v>-4.0139059637577166</v>
      </c>
      <c r="J73" s="6">
        <f>-4.84 + 0.92 *J67  + 0.528 *J65 + 0.404 *J71 + 0.892 *J66 + 0.115 *J69 - 0.172 *J68- 0.327 *J70 + 4.697 *J72</f>
        <v>-3.8985150057938247</v>
      </c>
      <c r="M73" s="6"/>
    </row>
    <row r="74" spans="1:13">
      <c r="A74" s="6"/>
      <c r="G74" s="6"/>
      <c r="H74" s="6" t="str">
        <f>IF(H73&gt;-2.22,"CARE","Good")</f>
        <v>Good</v>
      </c>
      <c r="I74" s="6" t="str">
        <f>IF(I73&gt;-2.22,"CARE","Good")</f>
        <v>Good</v>
      </c>
      <c r="J74" s="6" t="str">
        <f>IF(J73&gt;-2.22,"CARE","Good")</f>
        <v>Good</v>
      </c>
      <c r="M74" s="6"/>
    </row>
    <row r="75" spans="1:13">
      <c r="A75" s="6"/>
      <c r="G75" s="2" t="s">
        <v>86</v>
      </c>
      <c r="H75" s="6">
        <f ca="1">H59*$B$7/$B$5</f>
        <v>7.7082882485359275E-4</v>
      </c>
      <c r="I75" s="6">
        <f ca="1">I59*$B$7/$B$5</f>
        <v>7.5754177905091495E-4</v>
      </c>
      <c r="J75" s="6">
        <f ca="1">J59*$B$7/$B$5</f>
        <v>7.3715932481827691E-4</v>
      </c>
      <c r="K75" s="6">
        <f ca="1">K59*$B$7/$B$5</f>
        <v>6.9278226168985378E-4</v>
      </c>
      <c r="M75" s="6"/>
    </row>
    <row r="76" spans="1:13">
      <c r="A76" s="6"/>
      <c r="G76" s="2" t="s">
        <v>87</v>
      </c>
      <c r="M76" s="6"/>
    </row>
    <row r="77" spans="1:13">
      <c r="A77" s="6"/>
      <c r="G77" s="2" t="s">
        <v>88</v>
      </c>
      <c r="M77" s="6"/>
    </row>
    <row r="78" spans="1:13">
      <c r="A78" s="6"/>
      <c r="G78" s="2" t="s">
        <v>89</v>
      </c>
      <c r="H78" s="74" t="e">
        <f>(H15-H16)/$B$6</f>
        <v>#DIV/0!</v>
      </c>
      <c r="I78" s="74" t="e">
        <f>(I15-I16)/$B$6</f>
        <v>#DIV/0!</v>
      </c>
      <c r="J78" s="74" t="e">
        <f>(J15-J16)/$B$6</f>
        <v>#DIV/0!</v>
      </c>
      <c r="K78" s="74" t="e">
        <f>(K15-K16)/$B$6</f>
        <v>#DIV/0!</v>
      </c>
      <c r="M78" s="6"/>
    </row>
    <row r="79" spans="1:13">
      <c r="A79" s="6"/>
      <c r="G79" s="2" t="s">
        <v>122</v>
      </c>
      <c r="H79" s="74">
        <f>$B$6/H20</f>
        <v>0</v>
      </c>
      <c r="I79" s="74">
        <f>$B$6/(I15-I16)</f>
        <v>0</v>
      </c>
      <c r="J79" s="74">
        <f>$B$6/(J15-J16)</f>
        <v>0</v>
      </c>
      <c r="K79" s="74">
        <f>$B$6/(K15-K16)</f>
        <v>0</v>
      </c>
      <c r="M79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Normal="100" workbookViewId="0"/>
  </sheetViews>
  <sheetFormatPr defaultRowHeight="15"/>
  <cols>
    <col min="1" max="1" width="25"/>
    <col min="2" max="6" width="15.140625"/>
    <col min="7" max="7" width="22.5703125"/>
    <col min="8" max="12" width="15.140625"/>
    <col min="13" max="13" width="32.140625"/>
    <col min="14" max="26" width="15.140625"/>
    <col min="27" max="1025" width="14.42578125"/>
  </cols>
  <sheetData>
    <row r="1" spans="1:17">
      <c r="A1" s="2"/>
      <c r="B1" s="1">
        <v>2190</v>
      </c>
      <c r="G1" s="6"/>
      <c r="M1" s="6"/>
    </row>
    <row r="2" spans="1:17">
      <c r="A2" s="2"/>
      <c r="B2" t="str">
        <f ca="1">IFERROR(__xludf.dummyfunction("GoogleFinance(""TADAWUL:""&amp;B1,""eps"")"),"0.9")</f>
        <v>0.9</v>
      </c>
      <c r="G2" s="6"/>
      <c r="M2" s="6"/>
    </row>
    <row r="3" spans="1:17">
      <c r="A3" s="2"/>
      <c r="G3" s="6"/>
      <c r="M3" s="6"/>
    </row>
    <row r="4" spans="1:17">
      <c r="A4" s="2" t="str">
        <f ca="1">IFERROR(__xludf.dummyfunction("GOOGLEFINANCE(""TADAWUL:1301"")"),"15.56")</f>
        <v>15.56</v>
      </c>
      <c r="G4" s="6"/>
      <c r="M4" s="6"/>
    </row>
    <row r="5" spans="1:17">
      <c r="A5" s="2" t="s">
        <v>0</v>
      </c>
      <c r="B5" s="3" t="str">
        <f ca="1">IFERROR(__xludf.dummyfunction("GoogleFinance(""TADAWUL:""&amp;B1,""marketcap"")/1000"),"882,927.26")</f>
        <v>882,927.26</v>
      </c>
      <c r="C5" s="6">
        <f ca="1">H11/1000/B7</f>
        <v>7.8323943592542093</v>
      </c>
      <c r="D5" s="6">
        <f ca="1">100/C5</f>
        <v>12.767487873212996</v>
      </c>
      <c r="G5" s="6"/>
      <c r="M5" s="6"/>
    </row>
    <row r="6" spans="1:17">
      <c r="A6" s="2" t="s">
        <v>1</v>
      </c>
      <c r="C6" s="28" t="e">
        <f>H20/B6</f>
        <v>#DIV/0!</v>
      </c>
      <c r="G6" s="6"/>
      <c r="M6" s="6"/>
    </row>
    <row r="7" spans="1:17">
      <c r="A7" s="2" t="s">
        <v>2</v>
      </c>
      <c r="B7" s="5" t="str">
        <f ca="1">IFERROR(__xludf.dummyfunction("GoogleFinance(""TADAWUL:""&amp;B1,""shares"")/1000000"),"81.752523")</f>
        <v>81.752523</v>
      </c>
      <c r="G7" s="6"/>
      <c r="M7" s="6"/>
    </row>
    <row r="8" spans="1:17">
      <c r="A8" s="6"/>
      <c r="G8" s="6"/>
      <c r="M8" s="6"/>
    </row>
    <row r="9" spans="1:17">
      <c r="A9" s="6"/>
      <c r="G9" s="6"/>
      <c r="M9" s="6"/>
    </row>
    <row r="10" spans="1:17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G10" s="7" t="s">
        <v>4</v>
      </c>
      <c r="H10" s="8">
        <v>42735</v>
      </c>
      <c r="I10" s="8">
        <v>42369</v>
      </c>
      <c r="J10" s="8">
        <v>42004</v>
      </c>
      <c r="K10" s="8">
        <v>41639</v>
      </c>
      <c r="M10" s="7" t="s">
        <v>5</v>
      </c>
      <c r="N10" s="8">
        <v>42735</v>
      </c>
      <c r="O10" s="8">
        <v>42369</v>
      </c>
      <c r="P10" s="8">
        <v>42004</v>
      </c>
      <c r="Q10" s="8">
        <v>41639</v>
      </c>
    </row>
    <row r="11" spans="1:17">
      <c r="A11" s="10" t="s">
        <v>6</v>
      </c>
      <c r="B11" s="11">
        <v>309366</v>
      </c>
      <c r="C11" s="11">
        <v>371234</v>
      </c>
      <c r="D11" s="11">
        <v>374742</v>
      </c>
      <c r="E11" s="11">
        <v>312058</v>
      </c>
      <c r="G11" s="10" t="s">
        <v>7</v>
      </c>
      <c r="H11" s="11">
        <v>640318</v>
      </c>
      <c r="I11" s="11">
        <v>616084</v>
      </c>
      <c r="J11" s="11">
        <v>578052</v>
      </c>
      <c r="K11" s="11">
        <v>520024</v>
      </c>
      <c r="M11" s="10" t="s">
        <v>8</v>
      </c>
      <c r="N11" s="11">
        <v>92092</v>
      </c>
      <c r="O11" s="11">
        <v>148981</v>
      </c>
      <c r="P11" s="11">
        <v>131368</v>
      </c>
      <c r="Q11" s="11">
        <v>104578</v>
      </c>
    </row>
    <row r="12" spans="1:17">
      <c r="A12" s="10" t="s">
        <v>9</v>
      </c>
      <c r="B12" s="11">
        <v>41179</v>
      </c>
      <c r="C12" s="11">
        <v>37172</v>
      </c>
      <c r="D12" s="11">
        <v>27496</v>
      </c>
      <c r="E12" s="11">
        <v>18959</v>
      </c>
      <c r="G12" s="10" t="s">
        <v>10</v>
      </c>
      <c r="H12" s="11">
        <v>301154</v>
      </c>
      <c r="I12" s="13">
        <v>-235692</v>
      </c>
      <c r="J12" s="11">
        <v>197223</v>
      </c>
      <c r="K12" s="11">
        <v>170415</v>
      </c>
      <c r="M12" s="10" t="s">
        <v>11</v>
      </c>
      <c r="N12" s="11">
        <v>123681</v>
      </c>
      <c r="O12" s="11">
        <v>114632</v>
      </c>
      <c r="P12" s="11">
        <v>109614</v>
      </c>
      <c r="Q12" s="11">
        <v>105955</v>
      </c>
    </row>
    <row r="13" spans="1:17">
      <c r="A13" s="10" t="s">
        <v>12</v>
      </c>
      <c r="B13" s="11">
        <v>118777</v>
      </c>
      <c r="C13" s="11">
        <v>114542</v>
      </c>
      <c r="D13" s="11">
        <v>107766</v>
      </c>
      <c r="E13" s="11">
        <v>87984</v>
      </c>
      <c r="G13" s="10" t="s">
        <v>13</v>
      </c>
      <c r="H13" s="11">
        <v>339164</v>
      </c>
      <c r="I13" s="11">
        <v>380392</v>
      </c>
      <c r="J13" s="11">
        <v>380829</v>
      </c>
      <c r="K13" s="11">
        <v>349609</v>
      </c>
      <c r="M13" s="10" t="s">
        <v>14</v>
      </c>
      <c r="N13" s="11">
        <v>4994</v>
      </c>
      <c r="O13" s="13">
        <v>-18231</v>
      </c>
      <c r="P13" s="11">
        <v>449</v>
      </c>
      <c r="Q13" s="13">
        <v>-2582</v>
      </c>
    </row>
    <row r="14" spans="1:17">
      <c r="A14" s="10" t="s">
        <v>15</v>
      </c>
      <c r="B14" s="11">
        <v>2204619</v>
      </c>
      <c r="C14" s="11">
        <v>2068774</v>
      </c>
      <c r="D14" s="11">
        <v>2062671</v>
      </c>
      <c r="E14" s="11">
        <v>2099093</v>
      </c>
      <c r="G14" s="10" t="s">
        <v>16</v>
      </c>
      <c r="H14" s="11">
        <v>23267</v>
      </c>
      <c r="I14" s="11">
        <v>11190</v>
      </c>
      <c r="J14" s="11">
        <v>8293</v>
      </c>
      <c r="K14" s="11">
        <v>122</v>
      </c>
      <c r="M14" s="10" t="s">
        <v>9</v>
      </c>
      <c r="N14" s="13">
        <v>-4007</v>
      </c>
      <c r="O14" s="13">
        <v>-9776</v>
      </c>
      <c r="P14" s="13">
        <v>-8537</v>
      </c>
      <c r="Q14" s="13">
        <v>-4047</v>
      </c>
    </row>
    <row r="15" spans="1:17">
      <c r="A15" s="10" t="s">
        <v>17</v>
      </c>
      <c r="B15" s="11">
        <v>8777</v>
      </c>
      <c r="C15" s="11">
        <v>8777</v>
      </c>
      <c r="D15" s="11">
        <v>8777</v>
      </c>
      <c r="E15" s="11">
        <v>8777</v>
      </c>
      <c r="G15" s="10" t="s">
        <v>18</v>
      </c>
      <c r="H15" s="11">
        <v>362431</v>
      </c>
      <c r="I15" s="11">
        <v>391582</v>
      </c>
      <c r="J15" s="11">
        <v>389122</v>
      </c>
      <c r="K15" s="11">
        <v>349731</v>
      </c>
      <c r="M15" s="10" t="s">
        <v>19</v>
      </c>
      <c r="N15" s="18"/>
      <c r="O15" s="18"/>
      <c r="P15" s="18"/>
      <c r="Q15" s="18"/>
    </row>
    <row r="16" spans="1:17">
      <c r="A16" s="10" t="s">
        <v>20</v>
      </c>
      <c r="B16" s="11">
        <v>2682718</v>
      </c>
      <c r="C16" s="11">
        <v>2600499</v>
      </c>
      <c r="D16" s="11">
        <v>2581452</v>
      </c>
      <c r="E16" s="11">
        <v>2526871</v>
      </c>
      <c r="G16" s="10" t="s">
        <v>21</v>
      </c>
      <c r="H16" s="11">
        <v>121700</v>
      </c>
      <c r="I16" s="13">
        <v>-111837</v>
      </c>
      <c r="J16" s="11">
        <v>110271</v>
      </c>
      <c r="K16" s="11">
        <v>99711</v>
      </c>
      <c r="M16" s="10" t="s">
        <v>22</v>
      </c>
      <c r="N16" s="11">
        <v>1709</v>
      </c>
      <c r="O16" s="11">
        <v>19399</v>
      </c>
      <c r="P16" s="11">
        <v>18554</v>
      </c>
      <c r="Q16" s="13">
        <v>-8474</v>
      </c>
    </row>
    <row r="17" spans="1:26">
      <c r="A17" s="10" t="s">
        <v>23</v>
      </c>
      <c r="B17" s="11">
        <v>260538</v>
      </c>
      <c r="C17" s="11">
        <v>262094</v>
      </c>
      <c r="D17" s="11">
        <v>243321</v>
      </c>
      <c r="E17" s="11">
        <v>217539</v>
      </c>
      <c r="G17" s="10" t="s">
        <v>11</v>
      </c>
      <c r="H17" s="11">
        <v>56044</v>
      </c>
      <c r="I17" s="13">
        <v>-114632</v>
      </c>
      <c r="J17" s="11">
        <v>113328</v>
      </c>
      <c r="K17" s="11">
        <v>108949</v>
      </c>
      <c r="M17" s="10" t="s">
        <v>24</v>
      </c>
      <c r="N17" s="11">
        <v>47787</v>
      </c>
      <c r="O17" s="13">
        <v>-1102</v>
      </c>
      <c r="P17" s="11">
        <v>12493</v>
      </c>
      <c r="Q17" s="11">
        <v>9741</v>
      </c>
    </row>
    <row r="18" spans="1:26">
      <c r="A18" s="10" t="s">
        <v>25</v>
      </c>
      <c r="B18" s="11">
        <v>914379</v>
      </c>
      <c r="C18" s="11">
        <v>904498</v>
      </c>
      <c r="D18" s="11">
        <v>1008263</v>
      </c>
      <c r="E18" s="11">
        <v>1089627</v>
      </c>
      <c r="G18" s="10" t="s">
        <v>26</v>
      </c>
      <c r="H18" s="11">
        <v>87082</v>
      </c>
      <c r="I18" s="13">
        <v>-66484</v>
      </c>
      <c r="J18" s="11">
        <v>79879</v>
      </c>
      <c r="K18" s="11">
        <v>78566</v>
      </c>
      <c r="M18" s="10" t="s">
        <v>27</v>
      </c>
      <c r="N18" s="13">
        <v>-259859</v>
      </c>
      <c r="O18" s="13">
        <v>-127462</v>
      </c>
      <c r="P18" s="13">
        <v>-79266</v>
      </c>
      <c r="Q18" s="13">
        <v>-90894</v>
      </c>
    </row>
    <row r="19" spans="1:26">
      <c r="A19" s="10" t="s">
        <v>28</v>
      </c>
      <c r="B19" s="18"/>
      <c r="C19" s="18"/>
      <c r="D19" s="11">
        <v>416770</v>
      </c>
      <c r="E19" s="11">
        <v>393299</v>
      </c>
      <c r="G19" s="10" t="s">
        <v>29</v>
      </c>
      <c r="H19" s="11">
        <v>264826</v>
      </c>
      <c r="I19" s="13">
        <v>-292953</v>
      </c>
      <c r="J19" s="11">
        <v>303478</v>
      </c>
      <c r="K19" s="11">
        <v>287226</v>
      </c>
      <c r="M19" s="10" t="s">
        <v>30</v>
      </c>
      <c r="N19" s="13">
        <v>-9071</v>
      </c>
      <c r="O19" s="11">
        <v>2440</v>
      </c>
      <c r="P19" s="13">
        <v>-10056</v>
      </c>
      <c r="Q19" s="13">
        <v>-20283</v>
      </c>
    </row>
    <row r="20" spans="1:26">
      <c r="A20" s="10" t="s">
        <v>31</v>
      </c>
      <c r="B20" s="11">
        <v>1024001</v>
      </c>
      <c r="C20" s="11">
        <v>972014</v>
      </c>
      <c r="D20" s="11">
        <v>913098</v>
      </c>
      <c r="E20" s="11">
        <v>826406</v>
      </c>
      <c r="G20" s="10" t="s">
        <v>32</v>
      </c>
      <c r="H20" s="11">
        <v>97605</v>
      </c>
      <c r="I20" s="11">
        <v>98629</v>
      </c>
      <c r="J20" s="11">
        <v>85644</v>
      </c>
      <c r="K20" s="11">
        <v>62505</v>
      </c>
      <c r="M20" s="10" t="s">
        <v>33</v>
      </c>
      <c r="N20" s="11">
        <v>114330</v>
      </c>
      <c r="O20" s="13">
        <v>-105287</v>
      </c>
      <c r="P20" s="13">
        <v>-85169</v>
      </c>
      <c r="Q20" s="13">
        <v>-45268</v>
      </c>
    </row>
    <row r="21" spans="1:26">
      <c r="A21" s="10" t="s">
        <v>34</v>
      </c>
      <c r="B21" s="11">
        <v>483800</v>
      </c>
      <c r="C21" s="15"/>
      <c r="D21" s="18"/>
      <c r="E21" s="15"/>
      <c r="G21" s="10" t="s">
        <v>35</v>
      </c>
      <c r="H21" s="11">
        <v>5513</v>
      </c>
      <c r="I21" s="13">
        <v>-8120</v>
      </c>
      <c r="J21" s="11">
        <v>7566</v>
      </c>
      <c r="K21" s="11">
        <v>6465</v>
      </c>
      <c r="M21" s="10" t="s">
        <v>36</v>
      </c>
      <c r="N21" s="13">
        <v>-168921</v>
      </c>
      <c r="O21" s="13">
        <v>-44363</v>
      </c>
      <c r="P21" s="13">
        <v>-25430</v>
      </c>
      <c r="Q21" s="13">
        <v>-2359</v>
      </c>
    </row>
    <row r="22" spans="1:26">
      <c r="A22" s="10" t="s">
        <v>37</v>
      </c>
      <c r="B22" s="11">
        <v>2682718</v>
      </c>
      <c r="C22" s="11">
        <v>2600499</v>
      </c>
      <c r="D22" s="11">
        <v>2581452</v>
      </c>
      <c r="E22" s="11">
        <v>2526871</v>
      </c>
      <c r="G22" s="10" t="s">
        <v>8</v>
      </c>
      <c r="H22" s="11">
        <v>92092</v>
      </c>
      <c r="I22" s="11">
        <v>90509</v>
      </c>
      <c r="J22" s="11">
        <v>78078</v>
      </c>
      <c r="K22" s="11">
        <v>56040</v>
      </c>
      <c r="M22" s="10" t="s">
        <v>38</v>
      </c>
      <c r="N22" s="11">
        <v>252669</v>
      </c>
      <c r="O22" s="11">
        <v>273439</v>
      </c>
      <c r="P22" s="11">
        <v>209418</v>
      </c>
      <c r="Q22" s="11">
        <v>163051</v>
      </c>
    </row>
    <row r="23" spans="1:26">
      <c r="A23" s="6"/>
      <c r="B23" s="4">
        <f>B11+B12</f>
        <v>350545</v>
      </c>
      <c r="C23" s="4">
        <f>C11+C12</f>
        <v>408406</v>
      </c>
      <c r="D23" s="4">
        <f>D11+D12</f>
        <v>402238</v>
      </c>
      <c r="E23" s="4">
        <f>E11+E12</f>
        <v>331017</v>
      </c>
      <c r="G23" s="10" t="s">
        <v>39</v>
      </c>
      <c r="H23" s="18"/>
      <c r="I23" s="18"/>
      <c r="J23" s="11">
        <v>88740</v>
      </c>
      <c r="K23" s="11">
        <v>41106</v>
      </c>
      <c r="M23" s="10" t="s">
        <v>40</v>
      </c>
      <c r="N23" s="11">
        <v>195404</v>
      </c>
      <c r="O23" s="11">
        <v>252670</v>
      </c>
      <c r="P23" s="11">
        <v>273438</v>
      </c>
      <c r="Q23" s="11">
        <v>209418</v>
      </c>
    </row>
    <row r="24" spans="1:26">
      <c r="A24" s="6"/>
      <c r="B24" s="6">
        <f>B16/(B22-B20)</f>
        <v>1.6173452131979114</v>
      </c>
      <c r="C24" s="6">
        <f>C16/(C22-C20)</f>
        <v>1.5968823784069242</v>
      </c>
      <c r="D24" s="6">
        <f>D16/(D22-D20)</f>
        <v>1.547304708712899</v>
      </c>
      <c r="E24" s="6">
        <f>E16/(E22-E20)</f>
        <v>1.4859882443919752</v>
      </c>
      <c r="G24" s="10" t="s">
        <v>41</v>
      </c>
      <c r="H24" s="18"/>
      <c r="I24" s="18"/>
      <c r="J24" s="11">
        <v>11712</v>
      </c>
      <c r="K24" s="11">
        <v>8406</v>
      </c>
      <c r="M24" s="2" t="s">
        <v>42</v>
      </c>
      <c r="N24" s="12">
        <f>SUM(N11:N17)</f>
        <v>266256</v>
      </c>
      <c r="O24" s="12">
        <f>SUM(O11:O17)</f>
        <v>253903</v>
      </c>
      <c r="P24" s="12">
        <f>SUM(P11:P17)</f>
        <v>263941</v>
      </c>
      <c r="Q24" s="12">
        <f>SUM(Q11:Q17)</f>
        <v>205171</v>
      </c>
    </row>
    <row r="25" spans="1:26">
      <c r="A25" s="6"/>
      <c r="B25" s="6">
        <f ca="1">B24/B5*1000</f>
        <v>1.8317989334680994E-3</v>
      </c>
      <c r="G25" s="10" t="s">
        <v>43</v>
      </c>
      <c r="H25" s="18"/>
      <c r="I25" s="18"/>
      <c r="J25" s="18"/>
      <c r="K25" s="18"/>
      <c r="M25" s="2" t="s">
        <v>44</v>
      </c>
      <c r="N25" s="12">
        <f>N18+N19</f>
        <v>-268930</v>
      </c>
      <c r="O25" s="12">
        <f>O18+O19</f>
        <v>-125022</v>
      </c>
      <c r="P25" s="12">
        <f>P18+P19</f>
        <v>-89322</v>
      </c>
      <c r="Q25" s="12">
        <f>Q18+Q19</f>
        <v>-111177</v>
      </c>
    </row>
    <row r="26" spans="1:26">
      <c r="A26" s="6"/>
      <c r="B26" s="4">
        <f>B23-B17</f>
        <v>90007</v>
      </c>
      <c r="C26" s="4">
        <f>C23-C17</f>
        <v>146312</v>
      </c>
      <c r="G26" s="10" t="s">
        <v>45</v>
      </c>
      <c r="H26" s="18"/>
      <c r="I26" s="18"/>
      <c r="J26" s="18"/>
      <c r="K26" s="18"/>
      <c r="M26" s="2" t="s">
        <v>46</v>
      </c>
      <c r="N26" s="12">
        <f>N20+N21</f>
        <v>-54591</v>
      </c>
      <c r="O26" s="12">
        <f>O20+O21</f>
        <v>-149650</v>
      </c>
      <c r="P26" s="12">
        <f>P20+P21</f>
        <v>-110599</v>
      </c>
      <c r="Q26" s="12">
        <f>Q20+Q21</f>
        <v>-47627</v>
      </c>
    </row>
    <row r="27" spans="1:26">
      <c r="A27" s="6"/>
      <c r="B27" s="6">
        <f>B22/90000</f>
        <v>29.807977777777779</v>
      </c>
      <c r="F27" s="6">
        <f>H20*0.025</f>
        <v>2440.125</v>
      </c>
      <c r="G27" s="10" t="s">
        <v>47</v>
      </c>
      <c r="H27" s="18"/>
      <c r="I27" s="18"/>
      <c r="J27" s="11">
        <v>155106</v>
      </c>
      <c r="K27" s="11">
        <v>88740</v>
      </c>
      <c r="M27" s="2" t="s">
        <v>119</v>
      </c>
      <c r="N27" s="12">
        <f>N24+N18</f>
        <v>6397</v>
      </c>
      <c r="O27" s="12">
        <f>O24+O18</f>
        <v>126441</v>
      </c>
      <c r="P27" s="12">
        <f>P24+P18</f>
        <v>184675</v>
      </c>
      <c r="Q27" s="12">
        <f>Q24+Q18</f>
        <v>114277</v>
      </c>
    </row>
    <row r="28" spans="1:26">
      <c r="A28" s="6"/>
      <c r="G28" s="6"/>
      <c r="M28" s="2" t="s">
        <v>120</v>
      </c>
      <c r="N28" s="12">
        <f>(C11-B11)+(B17-C17)</f>
        <v>60312</v>
      </c>
      <c r="O28" s="12">
        <f>(D11-C11)+(C17-D17)</f>
        <v>22281</v>
      </c>
      <c r="P28" s="12">
        <f>(E11-D11)+(D17-E17)</f>
        <v>-36902</v>
      </c>
      <c r="Q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0.11531812139777643</v>
      </c>
      <c r="C30" s="24">
        <f t="shared" si="0"/>
        <v>0.14275490973078628</v>
      </c>
      <c r="D30" s="24">
        <f t="shared" si="0"/>
        <v>0.14516713849414981</v>
      </c>
      <c r="E30" s="24">
        <f t="shared" si="0"/>
        <v>0.12349581755459618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0.1438222883005007</v>
      </c>
      <c r="O30" s="26">
        <f t="shared" ref="O30:O42" si="3">O11/I$11</f>
        <v>0.24181929736854066</v>
      </c>
      <c r="P30" s="26">
        <f t="shared" ref="P30:P42" si="4">P11/J$11</f>
        <v>0.22725983129545438</v>
      </c>
      <c r="Q30" s="26">
        <f t="shared" ref="Q30:Q42" si="5">Q11/K$11</f>
        <v>0.20110225681891605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1.5349731130890387E-2</v>
      </c>
      <c r="C31" s="24">
        <f t="shared" si="0"/>
        <v>1.4294179693974118E-2</v>
      </c>
      <c r="D31" s="24">
        <f t="shared" si="0"/>
        <v>1.0651369849216642E-2</v>
      </c>
      <c r="E31" s="24">
        <f t="shared" si="0"/>
        <v>7.5029552359420007E-3</v>
      </c>
      <c r="F31" s="6"/>
      <c r="G31" s="25" t="s">
        <v>10</v>
      </c>
      <c r="H31" s="24">
        <f t="shared" si="1"/>
        <v>0.4703194350307191</v>
      </c>
      <c r="I31" s="24">
        <f t="shared" si="1"/>
        <v>-0.38256471520117385</v>
      </c>
      <c r="J31" s="24">
        <f t="shared" si="1"/>
        <v>0.34118556808038031</v>
      </c>
      <c r="K31" s="24">
        <f t="shared" si="1"/>
        <v>0.32770602895250989</v>
      </c>
      <c r="L31" s="6"/>
      <c r="M31" s="25" t="s">
        <v>11</v>
      </c>
      <c r="N31" s="26">
        <f t="shared" si="2"/>
        <v>0.19315558831705495</v>
      </c>
      <c r="O31" s="26">
        <f t="shared" si="3"/>
        <v>0.18606553651774757</v>
      </c>
      <c r="P31" s="26">
        <f t="shared" si="4"/>
        <v>0.18962653878889787</v>
      </c>
      <c r="Q31" s="26">
        <f t="shared" si="5"/>
        <v>0.20375021152869868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4.4274873467878471E-2</v>
      </c>
      <c r="C32" s="24">
        <f t="shared" si="0"/>
        <v>4.4046161909695021E-2</v>
      </c>
      <c r="D32" s="24">
        <f t="shared" si="0"/>
        <v>4.1746273027737875E-2</v>
      </c>
      <c r="E32" s="24">
        <f t="shared" si="0"/>
        <v>3.481934772293481E-2</v>
      </c>
      <c r="F32" s="6"/>
      <c r="G32" s="25" t="s">
        <v>13</v>
      </c>
      <c r="H32" s="24">
        <f t="shared" si="1"/>
        <v>0.52968056496928084</v>
      </c>
      <c r="I32" s="24">
        <f t="shared" si="1"/>
        <v>0.61743528479882615</v>
      </c>
      <c r="J32" s="24">
        <f t="shared" si="1"/>
        <v>0.65881443191961964</v>
      </c>
      <c r="K32" s="24">
        <f t="shared" si="1"/>
        <v>0.67229397104749011</v>
      </c>
      <c r="L32" s="6"/>
      <c r="M32" s="25" t="s">
        <v>14</v>
      </c>
      <c r="N32" s="26">
        <f t="shared" si="2"/>
        <v>7.7992497477815713E-3</v>
      </c>
      <c r="O32" s="26">
        <f t="shared" si="3"/>
        <v>-2.9591743982963364E-2</v>
      </c>
      <c r="P32" s="26">
        <f t="shared" si="4"/>
        <v>7.767467286680091E-4</v>
      </c>
      <c r="Q32" s="26">
        <f t="shared" si="5"/>
        <v>-4.9651554543636445E-3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0.82178559207490309</v>
      </c>
      <c r="C33" s="24">
        <f t="shared" si="0"/>
        <v>0.79552962719847231</v>
      </c>
      <c r="D33" s="24">
        <f t="shared" si="0"/>
        <v>0.79903519414655011</v>
      </c>
      <c r="E33" s="24">
        <f t="shared" si="0"/>
        <v>0.83070841368633386</v>
      </c>
      <c r="F33" s="6"/>
      <c r="G33" s="25" t="s">
        <v>16</v>
      </c>
      <c r="H33" s="24">
        <f t="shared" si="1"/>
        <v>3.6336632735609491E-2</v>
      </c>
      <c r="I33" s="24">
        <f t="shared" si="1"/>
        <v>1.8163107628180571E-2</v>
      </c>
      <c r="J33" s="24">
        <f t="shared" si="1"/>
        <v>1.4346460180053006E-2</v>
      </c>
      <c r="K33" s="24">
        <f t="shared" si="1"/>
        <v>2.3460455671276711E-4</v>
      </c>
      <c r="L33" s="6"/>
      <c r="M33" s="25" t="s">
        <v>9</v>
      </c>
      <c r="N33" s="26">
        <f t="shared" si="2"/>
        <v>-6.2578281416421216E-3</v>
      </c>
      <c r="O33" s="26">
        <f t="shared" si="3"/>
        <v>-1.5867966056576699E-2</v>
      </c>
      <c r="P33" s="26">
        <f t="shared" si="4"/>
        <v>-1.476856753371669E-2</v>
      </c>
      <c r="Q33" s="26">
        <f t="shared" si="5"/>
        <v>-7.7823331230866266E-3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3.2716819285515662E-3</v>
      </c>
      <c r="C34" s="24">
        <f t="shared" si="0"/>
        <v>3.375121467072281E-3</v>
      </c>
      <c r="D34" s="24">
        <f t="shared" si="0"/>
        <v>3.4000244823455946E-3</v>
      </c>
      <c r="E34" s="24">
        <f t="shared" si="0"/>
        <v>3.4734658001932032E-3</v>
      </c>
      <c r="F34" s="6"/>
      <c r="G34" s="25" t="s">
        <v>18</v>
      </c>
      <c r="H34" s="24">
        <f t="shared" si="1"/>
        <v>0.56601719770489034</v>
      </c>
      <c r="I34" s="24">
        <f t="shared" si="1"/>
        <v>0.63559839242700666</v>
      </c>
      <c r="J34" s="24">
        <f t="shared" si="1"/>
        <v>0.67316089209967267</v>
      </c>
      <c r="K34" s="24">
        <f t="shared" si="1"/>
        <v>0.67252857560420287</v>
      </c>
      <c r="L34" s="6"/>
      <c r="M34" s="25" t="s">
        <v>19</v>
      </c>
      <c r="N34" s="26">
        <f t="shared" si="2"/>
        <v>0</v>
      </c>
      <c r="O34" s="26">
        <f t="shared" si="3"/>
        <v>0</v>
      </c>
      <c r="P34" s="26">
        <f t="shared" si="4"/>
        <v>0</v>
      </c>
      <c r="Q34" s="26">
        <f t="shared" si="5"/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0.1900618130366474</v>
      </c>
      <c r="I35" s="24">
        <f t="shared" si="1"/>
        <v>-0.18152881749891248</v>
      </c>
      <c r="J35" s="24">
        <f t="shared" si="1"/>
        <v>0.19076311473708249</v>
      </c>
      <c r="K35" s="24">
        <f t="shared" si="1"/>
        <v>0.19174307339661245</v>
      </c>
      <c r="L35" s="6"/>
      <c r="M35" s="25" t="s">
        <v>22</v>
      </c>
      <c r="N35" s="26">
        <f t="shared" si="2"/>
        <v>2.6689863474086313E-3</v>
      </c>
      <c r="O35" s="26">
        <f t="shared" si="3"/>
        <v>3.1487589354698385E-2</v>
      </c>
      <c r="P35" s="26">
        <f t="shared" si="4"/>
        <v>3.2097458360147532E-2</v>
      </c>
      <c r="Q35" s="26">
        <f t="shared" si="5"/>
        <v>-1.6295401750688429E-2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9.7117177429755938E-2</v>
      </c>
      <c r="C36" s="24">
        <f t="shared" si="0"/>
        <v>0.10078604144819898</v>
      </c>
      <c r="D36" s="24">
        <f t="shared" si="0"/>
        <v>9.4257417918287845E-2</v>
      </c>
      <c r="E36" s="24">
        <f t="shared" si="0"/>
        <v>8.6090267370198162E-2</v>
      </c>
      <c r="F36" s="6"/>
      <c r="G36" s="25" t="s">
        <v>11</v>
      </c>
      <c r="H36" s="24">
        <f t="shared" si="1"/>
        <v>8.7525260885997269E-2</v>
      </c>
      <c r="I36" s="24">
        <f t="shared" si="1"/>
        <v>-0.18606553651774757</v>
      </c>
      <c r="J36" s="24">
        <f t="shared" si="1"/>
        <v>0.19605156629507381</v>
      </c>
      <c r="K36" s="24">
        <f t="shared" si="1"/>
        <v>0.20950763810901035</v>
      </c>
      <c r="L36" s="6"/>
      <c r="M36" s="25" t="s">
        <v>24</v>
      </c>
      <c r="N36" s="26">
        <f t="shared" si="2"/>
        <v>7.4630105666247087E-2</v>
      </c>
      <c r="O36" s="26">
        <f t="shared" si="3"/>
        <v>-1.7887171229897221E-3</v>
      </c>
      <c r="P36" s="26">
        <f t="shared" si="4"/>
        <v>2.1612242497214783E-2</v>
      </c>
      <c r="Q36" s="26">
        <f t="shared" si="5"/>
        <v>1.8731827761795609E-2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0.34084052069580179</v>
      </c>
      <c r="C37" s="24">
        <f t="shared" si="0"/>
        <v>0.34781709202733785</v>
      </c>
      <c r="D37" s="24">
        <f t="shared" si="0"/>
        <v>0.39057979772624091</v>
      </c>
      <c r="E37" s="24">
        <f t="shared" si="0"/>
        <v>0.43121591881817473</v>
      </c>
      <c r="F37" s="6"/>
      <c r="G37" s="25" t="s">
        <v>26</v>
      </c>
      <c r="H37" s="24">
        <f t="shared" si="1"/>
        <v>0.13599805096842507</v>
      </c>
      <c r="I37" s="24">
        <f t="shared" si="1"/>
        <v>-0.1079138559027665</v>
      </c>
      <c r="J37" s="24">
        <f t="shared" si="1"/>
        <v>0.13818652993156325</v>
      </c>
      <c r="K37" s="24">
        <f t="shared" si="1"/>
        <v>0.15108148854668246</v>
      </c>
      <c r="L37" s="6"/>
      <c r="M37" s="25" t="s">
        <v>27</v>
      </c>
      <c r="N37" s="26">
        <f t="shared" si="2"/>
        <v>-0.40582804169178438</v>
      </c>
      <c r="O37" s="26">
        <f t="shared" si="3"/>
        <v>-0.20689061881172047</v>
      </c>
      <c r="P37" s="26">
        <f t="shared" si="4"/>
        <v>-0.13712607170289179</v>
      </c>
      <c r="Q37" s="26">
        <f t="shared" si="5"/>
        <v>-0.17478808670369059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0.16144789831459194</v>
      </c>
      <c r="E38" s="24">
        <f t="shared" si="0"/>
        <v>0.15564664757322397</v>
      </c>
      <c r="F38" s="6"/>
      <c r="G38" s="25" t="s">
        <v>29</v>
      </c>
      <c r="H38" s="24">
        <f t="shared" si="1"/>
        <v>0.41358512489106974</v>
      </c>
      <c r="I38" s="24">
        <f t="shared" si="1"/>
        <v>-0.47550820991942655</v>
      </c>
      <c r="J38" s="24">
        <f t="shared" si="1"/>
        <v>0.52500121096371954</v>
      </c>
      <c r="K38" s="24">
        <f t="shared" si="1"/>
        <v>0.55233220005230532</v>
      </c>
      <c r="L38" s="6"/>
      <c r="M38" s="25" t="s">
        <v>30</v>
      </c>
      <c r="N38" s="26">
        <f t="shared" si="2"/>
        <v>-1.4166398570710179E-2</v>
      </c>
      <c r="O38" s="26">
        <f t="shared" si="3"/>
        <v>3.9604988930080961E-3</v>
      </c>
      <c r="P38" s="26">
        <f t="shared" si="4"/>
        <v>-1.73963588050902E-2</v>
      </c>
      <c r="Q38" s="26">
        <f t="shared" si="5"/>
        <v>-3.9003969047582417E-2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0.38170281035874809</v>
      </c>
      <c r="C39" s="24">
        <f t="shared" si="0"/>
        <v>0.37377980149194445</v>
      </c>
      <c r="D39" s="24">
        <f t="shared" si="0"/>
        <v>0.35371488604087931</v>
      </c>
      <c r="E39" s="24">
        <f t="shared" si="0"/>
        <v>0.32704716623840313</v>
      </c>
      <c r="F39" s="6"/>
      <c r="G39" s="25" t="s">
        <v>32</v>
      </c>
      <c r="H39" s="24">
        <f t="shared" si="1"/>
        <v>0.15243207281382062</v>
      </c>
      <c r="I39" s="24">
        <f t="shared" si="1"/>
        <v>0.16009018250758014</v>
      </c>
      <c r="J39" s="24">
        <f t="shared" si="1"/>
        <v>0.14815968113595318</v>
      </c>
      <c r="K39" s="24">
        <f t="shared" si="1"/>
        <v>0.12019637555189761</v>
      </c>
      <c r="L39" s="6"/>
      <c r="M39" s="25" t="s">
        <v>33</v>
      </c>
      <c r="N39" s="26">
        <f t="shared" si="2"/>
        <v>0.17855190702119883</v>
      </c>
      <c r="O39" s="26">
        <f t="shared" si="3"/>
        <v>-0.17089715038858339</v>
      </c>
      <c r="P39" s="26">
        <f t="shared" si="4"/>
        <v>-0.1473379557548456</v>
      </c>
      <c r="Q39" s="26">
        <f t="shared" si="5"/>
        <v>-8.7049828469455262E-2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0.18033949151569414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8.6097845133199444E-3</v>
      </c>
      <c r="I40" s="24">
        <f t="shared" si="1"/>
        <v>-1.3180020906240058E-2</v>
      </c>
      <c r="J40" s="24">
        <f t="shared" si="1"/>
        <v>1.3088787859915718E-2</v>
      </c>
      <c r="K40" s="24">
        <f t="shared" si="1"/>
        <v>1.243211851760688E-2</v>
      </c>
      <c r="L40" s="6"/>
      <c r="M40" s="25" t="s">
        <v>36</v>
      </c>
      <c r="N40" s="26">
        <f t="shared" si="2"/>
        <v>-0.26380798290849233</v>
      </c>
      <c r="O40" s="26">
        <f t="shared" si="3"/>
        <v>-7.200803786496647E-2</v>
      </c>
      <c r="P40" s="26">
        <f t="shared" si="4"/>
        <v>-4.399258198224381E-2</v>
      </c>
      <c r="Q40" s="26">
        <f t="shared" si="5"/>
        <v>-4.5363290925034229E-3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0.1438222883005007</v>
      </c>
      <c r="I41" s="24">
        <f t="shared" si="1"/>
        <v>0.14691016160134007</v>
      </c>
      <c r="J41" s="24">
        <f t="shared" si="1"/>
        <v>0.13507089327603744</v>
      </c>
      <c r="K41" s="24">
        <f t="shared" si="1"/>
        <v>0.10776425703429073</v>
      </c>
      <c r="L41" s="6"/>
      <c r="M41" s="25" t="s">
        <v>38</v>
      </c>
      <c r="N41" s="26">
        <f t="shared" si="2"/>
        <v>0.39459924599964391</v>
      </c>
      <c r="O41" s="26">
        <f t="shared" si="3"/>
        <v>0.44383395770706591</v>
      </c>
      <c r="P41" s="26">
        <f t="shared" si="4"/>
        <v>0.36228228602271079</v>
      </c>
      <c r="Q41" s="26">
        <f t="shared" si="5"/>
        <v>0.31354514407027367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</v>
      </c>
      <c r="I42" s="24">
        <f t="shared" si="1"/>
        <v>0</v>
      </c>
      <c r="J42" s="24">
        <f t="shared" si="1"/>
        <v>0.15351560067260384</v>
      </c>
      <c r="K42" s="24">
        <f t="shared" si="1"/>
        <v>7.9046351706844306E-2</v>
      </c>
      <c r="L42" s="6"/>
      <c r="M42" s="25" t="s">
        <v>40</v>
      </c>
      <c r="N42" s="26">
        <f t="shared" si="2"/>
        <v>0.30516712008720664</v>
      </c>
      <c r="O42" s="26">
        <f t="shared" si="3"/>
        <v>0.41012264561326051</v>
      </c>
      <c r="P42" s="26">
        <f t="shared" si="4"/>
        <v>0.47303356791430529</v>
      </c>
      <c r="Q42" s="26">
        <f t="shared" si="5"/>
        <v>0.40270833653831362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2.0261152975856844E-2</v>
      </c>
      <c r="K43" s="24">
        <f t="shared" si="1"/>
        <v>1.616463855514361E-2</v>
      </c>
      <c r="L43" s="6"/>
      <c r="M43" s="2" t="s">
        <v>49</v>
      </c>
      <c r="N43" s="26">
        <f>N24/H11</f>
        <v>0.41581839023735084</v>
      </c>
      <c r="O43" s="26">
        <f>O24/I11</f>
        <v>0.41212399607845684</v>
      </c>
      <c r="P43" s="26">
        <f>P24/J11</f>
        <v>0.45660425013666589</v>
      </c>
      <c r="Q43" s="26">
        <f>Q24/K11</f>
        <v>0.39454140578127161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</v>
      </c>
      <c r="I44" s="24">
        <f t="shared" si="1"/>
        <v>0</v>
      </c>
      <c r="J44" s="24">
        <f t="shared" si="1"/>
        <v>0</v>
      </c>
      <c r="K44" s="24">
        <f t="shared" si="1"/>
        <v>0</v>
      </c>
      <c r="L44" s="6"/>
      <c r="M44" s="2" t="s">
        <v>50</v>
      </c>
      <c r="N44" s="26">
        <f>N24/B16</f>
        <v>9.9248597877227493E-2</v>
      </c>
      <c r="O44" s="26">
        <f>O24/C16</f>
        <v>9.7636261348302764E-2</v>
      </c>
      <c r="P44" s="26">
        <f>P24/D16</f>
        <v>0.10224517054742835</v>
      </c>
      <c r="Q44" s="26">
        <f>Q24/E16</f>
        <v>8.1195676391869628E-2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0</v>
      </c>
      <c r="J45" s="24">
        <f t="shared" si="1"/>
        <v>0</v>
      </c>
      <c r="K45" s="24">
        <f t="shared" si="1"/>
        <v>0</v>
      </c>
      <c r="L45" s="6"/>
      <c r="M45" s="2" t="s">
        <v>51</v>
      </c>
      <c r="N45" s="26">
        <f>N24/B20</f>
        <v>0.26001537107873918</v>
      </c>
      <c r="O45" s="26">
        <f>O24/C20</f>
        <v>0.26121331585759056</v>
      </c>
      <c r="P45" s="26">
        <f>P24/D20</f>
        <v>0.28906097702546713</v>
      </c>
      <c r="Q45" s="26">
        <f>Q24/E20</f>
        <v>0.24826901063157819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</v>
      </c>
      <c r="I46" s="24">
        <f t="shared" si="1"/>
        <v>0</v>
      </c>
      <c r="J46" s="24">
        <f t="shared" si="1"/>
        <v>0.26832534097278443</v>
      </c>
      <c r="K46" s="24">
        <f t="shared" si="1"/>
        <v>0.17064597018599142</v>
      </c>
      <c r="L46" s="6"/>
      <c r="M46" s="2" t="s">
        <v>52</v>
      </c>
      <c r="N46" s="26">
        <f>N24/H22</f>
        <v>2.891195760760978</v>
      </c>
      <c r="O46" s="26">
        <f>O24/I22</f>
        <v>2.8052790330243402</v>
      </c>
      <c r="P46" s="26">
        <f>P24/J22</f>
        <v>3.3804784958631111</v>
      </c>
      <c r="Q46" s="26">
        <f>Q24/K22</f>
        <v>3.6611527480371162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0.16051924469333828</v>
      </c>
      <c r="O47" s="26">
        <f>O24/(C22-C20)</f>
        <v>0.15591362524063776</v>
      </c>
      <c r="P47" s="26">
        <f>P24/(D22-D20)</f>
        <v>0.15820443383118932</v>
      </c>
      <c r="Q47" s="26">
        <f>Q24/(E22-E20)</f>
        <v>0.12065582061377329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>N24/H25</f>
        <v>#DIV/0!</v>
      </c>
      <c r="O48" s="26" t="e">
        <f>O24/I25</f>
        <v>#DIV/0!</v>
      </c>
      <c r="P48" s="26" t="e">
        <f>P24/J25</f>
        <v>#DIV/0!</v>
      </c>
      <c r="Q48" s="26" t="e">
        <f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1.0246171962487349</v>
      </c>
      <c r="O49" s="26">
        <f>O24/(O18*-1)</f>
        <v>1.9919897694999293</v>
      </c>
      <c r="P49" s="26">
        <f>P24/(P18*-1)</f>
        <v>3.3298135392223651</v>
      </c>
      <c r="Q49" s="26">
        <f>Q24/(Q18*-1)</f>
        <v>2.2572557044469383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G50" s="2" t="s">
        <v>56</v>
      </c>
      <c r="H50" s="28">
        <f>LN(H22/I22)</f>
        <v>1.7338784107007454E-2</v>
      </c>
      <c r="I50" s="28">
        <f>LN(I15/J15)</f>
        <v>6.3020252020652779E-3</v>
      </c>
      <c r="J50" s="28">
        <f>LN(J22/K22)</f>
        <v>0.33164260555386899</v>
      </c>
      <c r="M50" s="2" t="s">
        <v>121</v>
      </c>
      <c r="N50" s="32" t="e">
        <f>(H15-H16-N28-N25)/($B$6)</f>
        <v>#DIV/0!</v>
      </c>
      <c r="O50" s="32" t="e">
        <f>(I15-I16-O28-O25)/($B$6)</f>
        <v>#DIV/0!</v>
      </c>
      <c r="P50" s="32" t="e">
        <f>(J15-J16-P28-P25)/($B$6)</f>
        <v>#DIV/0!</v>
      </c>
    </row>
    <row r="51" spans="1:26">
      <c r="A51" s="29" t="s">
        <v>57</v>
      </c>
      <c r="B51" s="30">
        <f>B23/B17</f>
        <v>1.3454659205183122</v>
      </c>
      <c r="C51" s="30">
        <f>C23/C17</f>
        <v>1.5582424626279121</v>
      </c>
      <c r="D51" s="30">
        <f>D23/D17</f>
        <v>1.6531166648172579</v>
      </c>
      <c r="E51" s="30">
        <f>E23/E17</f>
        <v>1.5216443947981741</v>
      </c>
      <c r="G51" s="29" t="s">
        <v>58</v>
      </c>
      <c r="H51" s="63">
        <f>H13/H11</f>
        <v>0.52968056496928084</v>
      </c>
      <c r="I51" s="63">
        <f>I13/I11</f>
        <v>0.61743528479882615</v>
      </c>
      <c r="J51" s="63">
        <f>J13/J11</f>
        <v>0.65881443191961964</v>
      </c>
      <c r="K51" s="63">
        <f>K13/K11</f>
        <v>0.67229397104749011</v>
      </c>
      <c r="M51" s="2" t="s">
        <v>59</v>
      </c>
      <c r="N51" s="32">
        <f>(N11-N24-N25)/B16</f>
        <v>3.5324622267416853E-2</v>
      </c>
      <c r="O51" s="32">
        <f>(O11-O24-O25)/C16</f>
        <v>7.7292858024556052E-3</v>
      </c>
      <c r="P51" s="32">
        <f>(P11-P24-P25)/D16</f>
        <v>-1.6754524198009494E-2</v>
      </c>
      <c r="Q51" s="32">
        <f>(Q11-Q24-Q25)/E16</f>
        <v>4.1885794723988679E-3</v>
      </c>
    </row>
    <row r="52" spans="1:26">
      <c r="A52" s="29" t="s">
        <v>60</v>
      </c>
      <c r="B52" s="31">
        <f>H20/B16</f>
        <v>3.6382877365418204E-2</v>
      </c>
      <c r="C52" s="31">
        <f>I20/C16</f>
        <v>3.7926951711959894E-2</v>
      </c>
      <c r="D52" s="31">
        <f>J20/D16</f>
        <v>3.3176677311838453E-2</v>
      </c>
      <c r="E52" s="31">
        <f>K20/E16</f>
        <v>2.4736126220926989E-2</v>
      </c>
      <c r="F52" s="31"/>
      <c r="G52" s="29" t="s">
        <v>61</v>
      </c>
      <c r="H52" s="63">
        <f>H16/H11</f>
        <v>0.1900618130366474</v>
      </c>
      <c r="I52" s="63">
        <f>I16/I11</f>
        <v>-0.18152881749891248</v>
      </c>
      <c r="J52" s="63">
        <f>J16/J11</f>
        <v>0.19076311473708249</v>
      </c>
      <c r="K52" s="63">
        <f>K16/K11</f>
        <v>0.19174307339661245</v>
      </c>
      <c r="M52" s="6"/>
      <c r="N52" s="4">
        <f>N24+N18</f>
        <v>6397</v>
      </c>
      <c r="O52" s="4">
        <f>O24+O18</f>
        <v>126441</v>
      </c>
      <c r="P52" s="4">
        <f>P24+P18</f>
        <v>184675</v>
      </c>
      <c r="Q52" s="4">
        <f>Q24+Q18</f>
        <v>114277</v>
      </c>
      <c r="R52" s="4">
        <f>AVERAGE(N52:Q52)</f>
        <v>107947.5</v>
      </c>
    </row>
    <row r="53" spans="1:26">
      <c r="A53" s="29" t="s">
        <v>62</v>
      </c>
      <c r="B53" s="31">
        <f>H20/B20</f>
        <v>9.5317289729209248E-2</v>
      </c>
      <c r="C53" s="31">
        <f>I20/C20</f>
        <v>0.10146870312567514</v>
      </c>
      <c r="D53" s="31">
        <f>J20/D20</f>
        <v>9.3794970528902705E-2</v>
      </c>
      <c r="E53" s="31">
        <f>K20/E20</f>
        <v>7.5634736437053943E-2</v>
      </c>
      <c r="G53" s="29" t="s">
        <v>11</v>
      </c>
      <c r="H53" s="71">
        <f>H17/H11</f>
        <v>8.7525260885997269E-2</v>
      </c>
      <c r="I53" s="71">
        <f>I17/I11</f>
        <v>-0.18606553651774757</v>
      </c>
      <c r="J53" s="71">
        <f>J17/J11</f>
        <v>0.19605156629507381</v>
      </c>
      <c r="K53" s="71">
        <f>K17/K11</f>
        <v>0.20950763810901035</v>
      </c>
      <c r="M53" s="6"/>
      <c r="N53" s="28">
        <f>LN(N52/O52)</f>
        <v>-2.9839466657377334</v>
      </c>
      <c r="O53" s="28">
        <f>LN(O52/P52)</f>
        <v>-0.3788217272090677</v>
      </c>
      <c r="P53" s="28">
        <f>LN(P52/Q52)</f>
        <v>0.47997219770936644</v>
      </c>
    </row>
    <row r="54" spans="1:26">
      <c r="A54" s="29" t="s">
        <v>63</v>
      </c>
      <c r="B54" s="30">
        <f>H11/B12</f>
        <v>15.549624808761747</v>
      </c>
      <c r="C54" s="30">
        <f>I11/C12</f>
        <v>16.573872807489508</v>
      </c>
      <c r="D54" s="30">
        <f>J11/D12</f>
        <v>21.023130637183591</v>
      </c>
      <c r="E54" s="30">
        <f>K11/E12</f>
        <v>27.42887283084551</v>
      </c>
      <c r="G54" s="29" t="s">
        <v>64</v>
      </c>
      <c r="H54" s="63">
        <f>H25/H22</f>
        <v>0</v>
      </c>
      <c r="I54" s="63">
        <f>I25/I22</f>
        <v>0</v>
      </c>
      <c r="J54" s="63">
        <f>J25/J22</f>
        <v>0</v>
      </c>
      <c r="K54" s="63">
        <f>K25/K22</f>
        <v>0</v>
      </c>
      <c r="M54" s="6"/>
    </row>
    <row r="55" spans="1:26">
      <c r="A55" s="29" t="s">
        <v>65</v>
      </c>
      <c r="B55" s="31">
        <f>(B22-B20)/B16</f>
        <v>0.61829718964125191</v>
      </c>
      <c r="C55" s="31">
        <f>(C22-C20)/C16</f>
        <v>0.62622019850805555</v>
      </c>
      <c r="D55" s="31">
        <f>(D22-D20)/D16</f>
        <v>0.64628511395912069</v>
      </c>
      <c r="E55" s="31">
        <f>(E22-E20)/E16</f>
        <v>0.67295283376159687</v>
      </c>
      <c r="G55" s="29" t="s">
        <v>66</v>
      </c>
      <c r="H55" s="63">
        <f>H22/H11</f>
        <v>0.1438222883005007</v>
      </c>
      <c r="I55" s="63">
        <f>I22/I11</f>
        <v>0.14691016160134007</v>
      </c>
      <c r="J55" s="63">
        <f>J22/J11</f>
        <v>0.13507089327603744</v>
      </c>
      <c r="K55" s="63">
        <f>K22/K11</f>
        <v>0.10776425703429073</v>
      </c>
      <c r="L55" s="31"/>
      <c r="M55" s="6"/>
    </row>
    <row r="56" spans="1:26">
      <c r="A56" s="29" t="s">
        <v>67</v>
      </c>
      <c r="B56" s="31">
        <f>(B22-B20)/B20</f>
        <v>1.6198392384382436</v>
      </c>
      <c r="C56" s="31">
        <f>(C22-C20)/C20</f>
        <v>1.6753719596631325</v>
      </c>
      <c r="D56" s="31">
        <f>(D22-D20)/D20</f>
        <v>1.8271357510365809</v>
      </c>
      <c r="E56" s="31">
        <f>(E22-E20)/E20</f>
        <v>2.0576629404917197</v>
      </c>
      <c r="G56" s="33" t="s">
        <v>68</v>
      </c>
      <c r="H56" s="34">
        <f>H13/B16</f>
        <v>0.12642551322949339</v>
      </c>
      <c r="I56" s="34">
        <f>I13/C16</f>
        <v>0.14627654154068123</v>
      </c>
      <c r="J56" s="34">
        <f>J13/D16</f>
        <v>0.14752511377317881</v>
      </c>
      <c r="K56" s="34">
        <f>K13/E16</f>
        <v>0.13835648911242401</v>
      </c>
      <c r="M56" s="6"/>
    </row>
    <row r="57" spans="1:26">
      <c r="A57" s="29" t="s">
        <v>69</v>
      </c>
      <c r="B57" s="30">
        <f>H11/B16</f>
        <v>0.23868256000071569</v>
      </c>
      <c r="C57" s="30">
        <f>I11/C16</f>
        <v>0.23690991613532633</v>
      </c>
      <c r="D57" s="30">
        <f>J11/D16</f>
        <v>0.22392513980503995</v>
      </c>
      <c r="E57" s="30">
        <f>K11/E16</f>
        <v>0.20579760502217961</v>
      </c>
      <c r="G57" s="33" t="s">
        <v>70</v>
      </c>
      <c r="H57" s="35">
        <f ca="1">H25/$B$5</f>
        <v>0</v>
      </c>
      <c r="I57" s="35">
        <f ca="1">I25/$B$5</f>
        <v>0</v>
      </c>
      <c r="J57" s="35">
        <f ca="1">J25/$B$5</f>
        <v>0</v>
      </c>
      <c r="K57" s="35">
        <f ca="1">K25/$B$5</f>
        <v>0</v>
      </c>
      <c r="M57" s="6"/>
    </row>
    <row r="58" spans="1:26">
      <c r="A58" s="29" t="s">
        <v>71</v>
      </c>
      <c r="B58" s="30">
        <f>B16/B20</f>
        <v>2.6198392384382436</v>
      </c>
      <c r="C58" s="30">
        <f>C16/C20</f>
        <v>2.6753719596631322</v>
      </c>
      <c r="D58" s="30">
        <f>D16/D20</f>
        <v>2.8271357510365811</v>
      </c>
      <c r="E58" s="30">
        <f>E16/E20</f>
        <v>3.0576629404917197</v>
      </c>
      <c r="G58" s="36" t="s">
        <v>72</v>
      </c>
      <c r="H58" s="37">
        <f ca="1">H22/$B$7/1000</f>
        <v>1.1264728796198742</v>
      </c>
      <c r="I58" s="37">
        <f ca="1">I22/$B$7/1000</f>
        <v>1.107109562844929</v>
      </c>
      <c r="J58" s="37">
        <f ca="1">J22/$B$7/1000</f>
        <v>0.95505309359076296</v>
      </c>
      <c r="K58" s="37">
        <f ca="1">K22/$B$7/1000</f>
        <v>0.68548343150216906</v>
      </c>
      <c r="M58" s="6"/>
    </row>
    <row r="59" spans="1:26">
      <c r="A59" s="6"/>
      <c r="G59" s="36" t="s">
        <v>73</v>
      </c>
      <c r="H59" s="37">
        <f ca="1">B20/$B$7/1000</f>
        <v>12.525619545711146</v>
      </c>
      <c r="I59" s="37">
        <f ca="1">C20/$B$7/1000</f>
        <v>11.8897125658128</v>
      </c>
      <c r="J59" s="37">
        <f ca="1">D20/$B$7/1000</f>
        <v>11.169049791894496</v>
      </c>
      <c r="K59" s="37">
        <f ca="1">E20/$B$7/1000</f>
        <v>10.108629919592818</v>
      </c>
      <c r="L59" s="65"/>
      <c r="M59" s="6"/>
    </row>
    <row r="60" spans="1:26">
      <c r="A60" s="6"/>
      <c r="G60" s="33" t="s">
        <v>74</v>
      </c>
      <c r="H60" s="38">
        <f ca="1">SQRT(22.5*H58*H59)</f>
        <v>17.817683383939251</v>
      </c>
      <c r="I60" s="38">
        <f ca="1">SQRT(22.5*I58*I59)</f>
        <v>17.209657922936746</v>
      </c>
      <c r="J60" s="38">
        <f ca="1">SQRT(22.5*J58*J59)</f>
        <v>15.492201264342889</v>
      </c>
      <c r="K60" s="38">
        <f ca="1">SQRT(22.5*K58*K59)</f>
        <v>12.48636105172478</v>
      </c>
      <c r="M60" s="6"/>
    </row>
    <row r="61" spans="1:26">
      <c r="A61" s="6"/>
      <c r="G61" s="33" t="s">
        <v>75</v>
      </c>
      <c r="H61" s="39">
        <f ca="1">H58-(B20*0.08/1000/$B$7)</f>
        <v>0.12442331596298239</v>
      </c>
      <c r="I61" s="39">
        <f ca="1">I58-(C20*0.08/1000/$B$7)</f>
        <v>0.15593255757990498</v>
      </c>
      <c r="J61" s="39">
        <f ca="1">J58-(D20*0.08/1000/$B$7)</f>
        <v>6.1529110239203266E-2</v>
      </c>
      <c r="K61" s="39">
        <f ca="1">K58-(E20*0.08/1000/$B$7)</f>
        <v>-0.12320696206525628</v>
      </c>
      <c r="M61" s="6"/>
    </row>
    <row r="62" spans="1:26">
      <c r="A62" s="6"/>
      <c r="G62" s="40" t="s">
        <v>76</v>
      </c>
      <c r="H62" s="41">
        <f ca="1">H25/$B$7/1000</f>
        <v>0</v>
      </c>
      <c r="I62" s="41">
        <f ca="1">I25/$B$7/1000</f>
        <v>0</v>
      </c>
      <c r="J62" s="41">
        <f ca="1">J25/$B$7/1000</f>
        <v>0</v>
      </c>
      <c r="K62" s="41">
        <f ca="1">K25/$B$7/1000</f>
        <v>0</v>
      </c>
      <c r="M62" s="6"/>
    </row>
    <row r="63" spans="1:26">
      <c r="A63" s="2"/>
      <c r="G63" s="6"/>
      <c r="M63" s="6"/>
    </row>
    <row r="64" spans="1:26">
      <c r="A64" s="6"/>
      <c r="G64" s="2" t="s">
        <v>85</v>
      </c>
      <c r="H64" s="47">
        <f ca="1">SUM(H62:J62)</f>
        <v>0</v>
      </c>
      <c r="M64" s="6"/>
    </row>
    <row r="65" spans="1:13">
      <c r="A65" s="6"/>
      <c r="G65" s="2" t="s">
        <v>105</v>
      </c>
      <c r="H65" s="6">
        <f>I51/H51</f>
        <v>1.1656747965344636</v>
      </c>
      <c r="I65" s="6">
        <f>J51/I51</f>
        <v>1.0670177881626504</v>
      </c>
      <c r="J65" s="6">
        <f>K51/J51</f>
        <v>1.0204602972776333</v>
      </c>
      <c r="M65" s="6"/>
    </row>
    <row r="66" spans="1:13">
      <c r="A66" s="6"/>
      <c r="G66" s="2" t="s">
        <v>106</v>
      </c>
      <c r="H66" s="6">
        <f>H11/I11</f>
        <v>1.0393355451529336</v>
      </c>
      <c r="I66" s="6">
        <f>I11/J11</f>
        <v>1.0657933888300706</v>
      </c>
      <c r="J66" s="6">
        <f>J11/K11</f>
        <v>1.1115871575158069</v>
      </c>
      <c r="M66" s="6"/>
    </row>
    <row r="67" spans="1:13">
      <c r="A67" s="6"/>
      <c r="G67" s="2" t="s">
        <v>107</v>
      </c>
      <c r="H67" s="6">
        <f>(N13/152738)/(O13/140619)</f>
        <v>-0.25219411766545013</v>
      </c>
      <c r="I67" s="6">
        <f>(O13/I11)/(P13/J11)</f>
        <v>-38.097030719019905</v>
      </c>
      <c r="J67" s="6">
        <f>(P13/J11)/(Q13/K11)</f>
        <v>-0.15643955880280899</v>
      </c>
      <c r="M67" s="6"/>
    </row>
    <row r="68" spans="1:13">
      <c r="A68" s="6"/>
      <c r="G68" s="2" t="s">
        <v>108</v>
      </c>
      <c r="H68" s="6">
        <f t="shared" ref="H68:J69" si="6">H52/I52</f>
        <v>-1.0470062861384863</v>
      </c>
      <c r="I68" s="6">
        <f t="shared" si="6"/>
        <v>-0.95159285771310087</v>
      </c>
      <c r="J68" s="6">
        <f t="shared" si="6"/>
        <v>0.99488920959609861</v>
      </c>
      <c r="M68" s="6"/>
    </row>
    <row r="69" spans="1:13">
      <c r="A69" s="6"/>
      <c r="G69" s="2" t="s">
        <v>109</v>
      </c>
      <c r="H69" s="6">
        <f t="shared" si="6"/>
        <v>-0.47040017471289641</v>
      </c>
      <c r="I69" s="6">
        <f t="shared" si="6"/>
        <v>-0.94906426933464827</v>
      </c>
      <c r="J69" s="6">
        <f t="shared" si="6"/>
        <v>0.9357728819083192</v>
      </c>
      <c r="M69" s="6"/>
    </row>
    <row r="70" spans="1:13">
      <c r="A70" s="6"/>
      <c r="G70" s="2" t="s">
        <v>110</v>
      </c>
      <c r="H70" s="6">
        <f>B58/C58</f>
        <v>0.97924299048425367</v>
      </c>
      <c r="I70" s="6">
        <f>C58/D58</f>
        <v>0.9463188878292087</v>
      </c>
      <c r="J70" s="6">
        <f>D58/E58</f>
        <v>0.92460673594779341</v>
      </c>
      <c r="M70" s="6"/>
    </row>
    <row r="71" spans="1:13">
      <c r="A71" s="6"/>
      <c r="G71" s="2" t="s">
        <v>111</v>
      </c>
      <c r="H71" s="6">
        <f>((1-B11)/B16)/((1-C11)/C16)</f>
        <v>0.8078045055920281</v>
      </c>
      <c r="I71" s="6">
        <f>((1-C11)/C16)/((1-D11)/D16)</f>
        <v>0.9833830687293923</v>
      </c>
      <c r="J71" s="6">
        <f>((1-D11)/D16)/((1-E11)/E16)</f>
        <v>1.1754828558801045</v>
      </c>
      <c r="M71" s="6"/>
    </row>
    <row r="72" spans="1:13">
      <c r="A72" s="6"/>
      <c r="G72" s="2" t="s">
        <v>112</v>
      </c>
      <c r="H72" s="6">
        <f>((H13-H16-H17)-N24)/B16</f>
        <v>-3.9078278074698866E-2</v>
      </c>
      <c r="I72" s="6">
        <f>((I13-I16-I17)-O24)/C16</f>
        <v>0.13572702777428486</v>
      </c>
      <c r="J72" s="6">
        <f>((J13-J16-J17)-P24)/D16</f>
        <v>-4.1337588303017064E-2</v>
      </c>
      <c r="K72" s="6">
        <f>((K13-K16-K17)-Q24)/E16</f>
        <v>-2.5415622720748311E-2</v>
      </c>
      <c r="M72" s="6"/>
    </row>
    <row r="73" spans="1:13">
      <c r="A73" s="6"/>
      <c r="G73" s="2" t="s">
        <v>113</v>
      </c>
      <c r="H73" s="6">
        <f>-4.84 + 0.92 *H67  + 0.528 *H65 + 0.404 *H71 + 0.892 *H66 + 0.115 *H69 - 0.172 *H68- 0.327 *H70 + 4.697 *H72</f>
        <v>-3.5808760380277964</v>
      </c>
      <c r="I73" s="6">
        <f>-4.84 + 0.92 *I67  + 0.528 *I65 + 0.404 *I71 + 0.892 *I66 + 0.115 *I69 - 0.172 *I68- 0.327 *I70 + 4.697 *I72</f>
        <v>-37.595313253056496</v>
      </c>
      <c r="J73" s="6">
        <f>-4.84 + 0.92 *J67  + 0.528 *J65 + 0.404 *J71 + 0.892 *J66 + 0.115 *J69 - 0.172 *J68- 0.327 *J70 + 4.697 *J72</f>
        <v>-3.5387066564016041</v>
      </c>
      <c r="M73" s="6"/>
    </row>
    <row r="74" spans="1:13">
      <c r="A74" s="6"/>
      <c r="G74" s="6"/>
      <c r="H74" s="6" t="str">
        <f>IF(H73&gt;-2.22,"CARE","Good")</f>
        <v>Good</v>
      </c>
      <c r="I74" s="6" t="str">
        <f>IF(I73&gt;-2.22,"CARE","Good")</f>
        <v>Good</v>
      </c>
      <c r="J74" s="6" t="str">
        <f>IF(J73&gt;-2.22,"CARE","Good")</f>
        <v>Good</v>
      </c>
      <c r="M74" s="6"/>
    </row>
    <row r="75" spans="1:13">
      <c r="A75" s="6"/>
      <c r="G75" s="2" t="s">
        <v>86</v>
      </c>
      <c r="H75" s="6">
        <f ca="1">H59*$B$7/$B$5</f>
        <v>1.1597795723285291E-3</v>
      </c>
      <c r="I75" s="6">
        <f ca="1">I59*$B$7/$B$5</f>
        <v>1.1008992971855913E-3</v>
      </c>
      <c r="J75" s="6">
        <f ca="1">J59*$B$7/$B$5</f>
        <v>1.0341712634402067E-3</v>
      </c>
      <c r="K75" s="6">
        <f ca="1">K59*$B$7/$B$5</f>
        <v>9.3598423951708092E-4</v>
      </c>
      <c r="M75" s="6"/>
    </row>
    <row r="76" spans="1:13">
      <c r="A76" s="6"/>
      <c r="G76" s="2" t="s">
        <v>87</v>
      </c>
      <c r="M76" s="6"/>
    </row>
    <row r="77" spans="1:13">
      <c r="A77" s="6"/>
      <c r="G77" s="2" t="s">
        <v>88</v>
      </c>
      <c r="M77" s="6"/>
    </row>
    <row r="78" spans="1:13">
      <c r="A78" s="6"/>
      <c r="G78" s="2" t="s">
        <v>89</v>
      </c>
      <c r="H78" s="74" t="e">
        <f>(H15-H16)/$B$6</f>
        <v>#DIV/0!</v>
      </c>
      <c r="I78" s="74" t="e">
        <f>(I15-I16)/$B$6</f>
        <v>#DIV/0!</v>
      </c>
      <c r="J78" s="74" t="e">
        <f>(J15-J16)/$B$6</f>
        <v>#DIV/0!</v>
      </c>
      <c r="K78" s="74" t="e">
        <f>(K15-K16)/$B$6</f>
        <v>#DIV/0!</v>
      </c>
      <c r="M78" s="6"/>
    </row>
    <row r="79" spans="1:13">
      <c r="A79" s="6"/>
      <c r="G79" s="2" t="s">
        <v>122</v>
      </c>
      <c r="H79" s="74">
        <f>$B$6/H20</f>
        <v>0</v>
      </c>
      <c r="I79" s="74">
        <f>$B$6/(I15-I16)</f>
        <v>0</v>
      </c>
      <c r="J79" s="74">
        <f>$B$6/(J15-J16)</f>
        <v>0</v>
      </c>
      <c r="K79" s="74">
        <f>$B$6/(K15-K16)</f>
        <v>0</v>
      </c>
      <c r="M79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Normal="100" workbookViewId="0"/>
  </sheetViews>
  <sheetFormatPr defaultRowHeight="15"/>
  <cols>
    <col min="1" max="1" width="25"/>
    <col min="2" max="6" width="15.140625"/>
    <col min="7" max="7" width="22.5703125"/>
    <col min="8" max="12" width="15.140625"/>
    <col min="13" max="13" width="32.140625"/>
    <col min="14" max="26" width="15.140625"/>
    <col min="27" max="1025" width="14.42578125"/>
  </cols>
  <sheetData>
    <row r="1" spans="1:17">
      <c r="A1" s="2"/>
      <c r="B1" s="1">
        <v>6004</v>
      </c>
      <c r="G1" s="6"/>
      <c r="M1" s="6"/>
    </row>
    <row r="2" spans="1:17">
      <c r="A2" s="2"/>
      <c r="B2" t="str">
        <f ca="1">IFERROR(__xludf.dummyfunction("GoogleFinance(""TADAWUL:""&amp;B1,""eps"")"),"5.98")</f>
        <v>5.98</v>
      </c>
      <c r="G2" s="6"/>
      <c r="M2" s="6"/>
    </row>
    <row r="3" spans="1:17">
      <c r="A3" s="2"/>
      <c r="G3" s="6"/>
      <c r="M3" s="6"/>
    </row>
    <row r="4" spans="1:17">
      <c r="A4" s="2" t="str">
        <f ca="1">IFERROR(__xludf.dummyfunction("GOOGLEFINANCE(""TADAWUL:1301"")"),"15.56")</f>
        <v>15.56</v>
      </c>
      <c r="G4" s="6"/>
      <c r="M4" s="6"/>
    </row>
    <row r="5" spans="1:17">
      <c r="A5" s="2" t="s">
        <v>0</v>
      </c>
      <c r="B5" s="3" t="str">
        <f ca="1">IFERROR(__xludf.dummyfunction("GoogleFinance(""TADAWUL:""&amp;B1,""marketcap"")/1000"),"6,321,476.08")</f>
        <v>6,321,476.08</v>
      </c>
      <c r="C5" s="6">
        <f ca="1">H11/1000/B7</f>
        <v>27.538125223728997</v>
      </c>
      <c r="D5" s="6">
        <f ca="1">100/C5</f>
        <v>3.6313292639773529</v>
      </c>
      <c r="G5" s="6"/>
      <c r="M5" s="6"/>
    </row>
    <row r="6" spans="1:17">
      <c r="A6" s="2" t="s">
        <v>1</v>
      </c>
      <c r="B6" s="4">
        <f ca="1">B5+(B22-B20)-P23</f>
        <v>5958452.0800000001</v>
      </c>
      <c r="C6" s="28">
        <f ca="1">H20/B6</f>
        <v>0.11722860075430866</v>
      </c>
      <c r="G6" s="6"/>
      <c r="M6" s="6"/>
    </row>
    <row r="7" spans="1:17">
      <c r="A7" s="2" t="s">
        <v>2</v>
      </c>
      <c r="B7" s="5" t="str">
        <f ca="1">IFERROR(__xludf.dummyfunction("GoogleFinance(""TADAWUL:""&amp;B1,""shares"")/1000000"),"82.097092")</f>
        <v>82.097092</v>
      </c>
      <c r="G7" s="6"/>
      <c r="M7" s="6"/>
    </row>
    <row r="8" spans="1:17">
      <c r="A8" s="6"/>
      <c r="G8" s="6"/>
      <c r="M8" s="6"/>
    </row>
    <row r="9" spans="1:17">
      <c r="A9" s="6"/>
      <c r="G9" s="6"/>
      <c r="M9" s="6"/>
    </row>
    <row r="10" spans="1:17">
      <c r="A10" s="7" t="s">
        <v>3</v>
      </c>
      <c r="B10" s="8">
        <v>42369</v>
      </c>
      <c r="C10" s="8">
        <v>42004</v>
      </c>
      <c r="D10" s="8">
        <v>41639</v>
      </c>
      <c r="E10" s="8">
        <v>41274</v>
      </c>
      <c r="G10" s="7" t="s">
        <v>4</v>
      </c>
      <c r="H10" s="8">
        <v>42369</v>
      </c>
      <c r="I10" s="8">
        <v>42004</v>
      </c>
      <c r="J10" s="8">
        <v>41639</v>
      </c>
      <c r="K10" s="8">
        <v>41274</v>
      </c>
      <c r="M10" s="7" t="s">
        <v>5</v>
      </c>
      <c r="N10" s="8">
        <v>42369</v>
      </c>
      <c r="O10" s="8">
        <v>42004</v>
      </c>
      <c r="P10" s="8">
        <v>41639</v>
      </c>
      <c r="Q10" s="8">
        <v>41274</v>
      </c>
    </row>
    <row r="11" spans="1:17">
      <c r="A11" s="10" t="s">
        <v>6</v>
      </c>
      <c r="B11" s="11">
        <v>1192983</v>
      </c>
      <c r="C11" s="11">
        <v>1380896</v>
      </c>
      <c r="D11" s="11">
        <v>1374112</v>
      </c>
      <c r="E11" s="11">
        <v>1393446</v>
      </c>
      <c r="G11" s="10" t="s">
        <v>7</v>
      </c>
      <c r="H11" s="11">
        <v>2260800</v>
      </c>
      <c r="I11" s="11">
        <v>2135940</v>
      </c>
      <c r="J11" s="11">
        <v>1867498</v>
      </c>
      <c r="K11" s="11">
        <v>1599231</v>
      </c>
      <c r="M11" s="10" t="s">
        <v>8</v>
      </c>
      <c r="N11" s="11">
        <v>698501</v>
      </c>
      <c r="O11" s="11">
        <v>653932</v>
      </c>
      <c r="P11" s="11">
        <v>569352</v>
      </c>
      <c r="Q11" s="11">
        <v>487051</v>
      </c>
    </row>
    <row r="12" spans="1:17">
      <c r="A12" s="10" t="s">
        <v>9</v>
      </c>
      <c r="B12" s="11">
        <v>142376</v>
      </c>
      <c r="C12" s="11">
        <v>86753</v>
      </c>
      <c r="D12" s="11">
        <v>76630</v>
      </c>
      <c r="E12" s="11">
        <v>73280</v>
      </c>
      <c r="G12" s="10" t="s">
        <v>10</v>
      </c>
      <c r="H12" s="11">
        <v>1415776</v>
      </c>
      <c r="I12" s="11">
        <v>1346074</v>
      </c>
      <c r="J12" s="11">
        <v>1162742</v>
      </c>
      <c r="K12" s="11">
        <v>1059393</v>
      </c>
      <c r="M12" s="10" t="s">
        <v>11</v>
      </c>
      <c r="N12" s="11">
        <v>24661</v>
      </c>
      <c r="O12" s="11">
        <v>18500</v>
      </c>
      <c r="P12" s="11">
        <v>15494</v>
      </c>
      <c r="Q12" s="11">
        <v>15859</v>
      </c>
    </row>
    <row r="13" spans="1:17">
      <c r="A13" s="10" t="s">
        <v>12</v>
      </c>
      <c r="B13" s="11">
        <v>40000</v>
      </c>
      <c r="C13" s="11">
        <v>140000</v>
      </c>
      <c r="D13" s="11">
        <v>140000</v>
      </c>
      <c r="E13" s="18"/>
      <c r="G13" s="10" t="s">
        <v>13</v>
      </c>
      <c r="H13" s="11">
        <v>845024</v>
      </c>
      <c r="I13" s="11">
        <v>789866</v>
      </c>
      <c r="J13" s="11">
        <v>704756</v>
      </c>
      <c r="K13" s="11">
        <v>539838</v>
      </c>
      <c r="M13" s="10" t="s">
        <v>14</v>
      </c>
      <c r="N13" s="11">
        <v>12543</v>
      </c>
      <c r="O13" s="11">
        <v>1929</v>
      </c>
      <c r="P13" s="11">
        <v>4487</v>
      </c>
      <c r="Q13" s="13">
        <v>-4056</v>
      </c>
    </row>
    <row r="14" spans="1:17">
      <c r="A14" s="10" t="s">
        <v>15</v>
      </c>
      <c r="B14" s="11">
        <v>458054</v>
      </c>
      <c r="C14" s="11">
        <v>191497</v>
      </c>
      <c r="D14" s="11">
        <v>98120</v>
      </c>
      <c r="E14" s="11">
        <v>90046</v>
      </c>
      <c r="G14" s="10" t="s">
        <v>16</v>
      </c>
      <c r="H14" s="11">
        <v>29589</v>
      </c>
      <c r="I14" s="11">
        <v>20608</v>
      </c>
      <c r="J14" s="11">
        <v>23541</v>
      </c>
      <c r="K14" s="11">
        <v>88161</v>
      </c>
      <c r="M14" s="10" t="s">
        <v>9</v>
      </c>
      <c r="N14" s="13">
        <v>-57476</v>
      </c>
      <c r="O14" s="13">
        <v>-12207</v>
      </c>
      <c r="P14" s="13">
        <v>-2067</v>
      </c>
      <c r="Q14" s="13">
        <v>-9276</v>
      </c>
    </row>
    <row r="15" spans="1:17">
      <c r="A15" s="10" t="s">
        <v>17</v>
      </c>
      <c r="B15" s="11">
        <v>14807</v>
      </c>
      <c r="C15" s="11">
        <v>10167</v>
      </c>
      <c r="D15" s="18"/>
      <c r="E15" s="18"/>
      <c r="G15" s="10" t="s">
        <v>18</v>
      </c>
      <c r="H15" s="11">
        <v>874613</v>
      </c>
      <c r="I15" s="11">
        <v>810474</v>
      </c>
      <c r="J15" s="11">
        <v>728297</v>
      </c>
      <c r="K15" s="11">
        <v>627999</v>
      </c>
      <c r="M15" s="10" t="s">
        <v>19</v>
      </c>
      <c r="N15" s="11">
        <v>20342</v>
      </c>
      <c r="O15" s="13">
        <v>-85006</v>
      </c>
      <c r="P15" s="13">
        <v>-6486</v>
      </c>
      <c r="Q15" s="13">
        <v>-31218</v>
      </c>
    </row>
    <row r="16" spans="1:17">
      <c r="A16" s="10" t="s">
        <v>20</v>
      </c>
      <c r="B16" s="11">
        <v>1848220</v>
      </c>
      <c r="C16" s="11">
        <v>1809313</v>
      </c>
      <c r="D16" s="11">
        <v>1688862</v>
      </c>
      <c r="E16" s="11">
        <v>1556772</v>
      </c>
      <c r="G16" s="10" t="s">
        <v>21</v>
      </c>
      <c r="H16" s="11">
        <v>155629</v>
      </c>
      <c r="I16" s="11">
        <v>141250</v>
      </c>
      <c r="J16" s="11">
        <v>146104</v>
      </c>
      <c r="K16" s="11">
        <v>121217</v>
      </c>
      <c r="M16" s="10" t="s">
        <v>22</v>
      </c>
      <c r="N16" s="11">
        <v>35078</v>
      </c>
      <c r="O16" s="11">
        <v>21954</v>
      </c>
      <c r="P16" s="13">
        <v>-5598</v>
      </c>
      <c r="Q16" s="11">
        <v>36050</v>
      </c>
    </row>
    <row r="17" spans="1:26">
      <c r="A17" s="10" t="s">
        <v>23</v>
      </c>
      <c r="B17" s="11">
        <v>384427</v>
      </c>
      <c r="C17" s="11">
        <v>459830</v>
      </c>
      <c r="D17" s="11">
        <v>417826</v>
      </c>
      <c r="E17" s="11">
        <v>389641</v>
      </c>
      <c r="G17" s="10" t="s">
        <v>11</v>
      </c>
      <c r="H17" s="11">
        <v>20483</v>
      </c>
      <c r="I17" s="11">
        <v>15292</v>
      </c>
      <c r="J17" s="11">
        <v>12841</v>
      </c>
      <c r="K17" s="18"/>
      <c r="M17" s="10" t="s">
        <v>24</v>
      </c>
      <c r="N17" s="13">
        <v>-153015</v>
      </c>
      <c r="O17" s="13">
        <v>-112019</v>
      </c>
      <c r="P17" s="13">
        <v>-74737</v>
      </c>
      <c r="Q17" s="11">
        <v>291772</v>
      </c>
    </row>
    <row r="18" spans="1:26">
      <c r="A18" s="10" t="s">
        <v>25</v>
      </c>
      <c r="B18" s="11">
        <v>145633</v>
      </c>
      <c r="C18" s="11">
        <v>123776</v>
      </c>
      <c r="D18" s="11">
        <v>112407</v>
      </c>
      <c r="E18" s="11">
        <v>105433</v>
      </c>
      <c r="G18" s="10" t="s">
        <v>26</v>
      </c>
      <c r="H18" s="18"/>
      <c r="I18" s="18"/>
      <c r="J18" s="18"/>
      <c r="K18" s="11">
        <v>19731</v>
      </c>
      <c r="M18" s="10" t="s">
        <v>27</v>
      </c>
      <c r="N18" s="13">
        <v>-291587</v>
      </c>
      <c r="O18" s="13">
        <v>-112036</v>
      </c>
      <c r="P18" s="13">
        <v>-24138</v>
      </c>
      <c r="Q18" s="13">
        <v>-20366</v>
      </c>
    </row>
    <row r="19" spans="1:26">
      <c r="A19" s="10" t="s">
        <v>28</v>
      </c>
      <c r="B19" s="18"/>
      <c r="C19" s="18"/>
      <c r="D19" s="18"/>
      <c r="E19" s="18"/>
      <c r="G19" s="10" t="s">
        <v>29</v>
      </c>
      <c r="H19" s="11">
        <v>176112</v>
      </c>
      <c r="I19" s="11">
        <v>156542</v>
      </c>
      <c r="J19" s="11">
        <v>158945</v>
      </c>
      <c r="K19" s="11">
        <v>140948</v>
      </c>
      <c r="M19" s="10" t="s">
        <v>30</v>
      </c>
      <c r="N19" s="11">
        <v>103574</v>
      </c>
      <c r="O19" s="11">
        <v>3098</v>
      </c>
      <c r="P19" s="13">
        <v>-138318</v>
      </c>
      <c r="Q19" s="11">
        <v>169</v>
      </c>
    </row>
    <row r="20" spans="1:26">
      <c r="A20" s="10" t="s">
        <v>31</v>
      </c>
      <c r="B20" s="11">
        <v>1318160</v>
      </c>
      <c r="C20" s="11">
        <v>1225707</v>
      </c>
      <c r="D20" s="11">
        <v>1158629</v>
      </c>
      <c r="E20" s="11">
        <v>1061698</v>
      </c>
      <c r="G20" s="10" t="s">
        <v>32</v>
      </c>
      <c r="H20" s="11">
        <v>698501</v>
      </c>
      <c r="I20" s="11">
        <v>653932</v>
      </c>
      <c r="J20" s="11">
        <v>569352</v>
      </c>
      <c r="K20" s="11">
        <v>487051</v>
      </c>
      <c r="M20" s="10" t="s">
        <v>33</v>
      </c>
      <c r="N20" s="18"/>
      <c r="O20" s="18"/>
      <c r="P20" s="18"/>
      <c r="Q20" s="18"/>
    </row>
    <row r="21" spans="1:26">
      <c r="A21" s="10" t="s">
        <v>34</v>
      </c>
      <c r="B21" s="18"/>
      <c r="C21" s="15"/>
      <c r="D21" s="18"/>
      <c r="E21" s="15"/>
      <c r="G21" s="10" t="s">
        <v>35</v>
      </c>
      <c r="H21" s="18"/>
      <c r="I21" s="18"/>
      <c r="J21" s="18"/>
      <c r="K21" s="18"/>
      <c r="M21" s="10" t="s">
        <v>36</v>
      </c>
      <c r="N21" s="13">
        <v>-564898</v>
      </c>
      <c r="O21" s="13">
        <v>-584053</v>
      </c>
      <c r="P21" s="13">
        <v>-467027</v>
      </c>
      <c r="Q21" s="13">
        <v>-398916</v>
      </c>
    </row>
    <row r="22" spans="1:26">
      <c r="A22" s="10" t="s">
        <v>37</v>
      </c>
      <c r="B22" s="11">
        <v>1848220</v>
      </c>
      <c r="C22" s="11">
        <v>1809313</v>
      </c>
      <c r="D22" s="11">
        <v>1688862</v>
      </c>
      <c r="E22" s="11">
        <v>1556772</v>
      </c>
      <c r="G22" s="10" t="s">
        <v>8</v>
      </c>
      <c r="H22" s="11">
        <v>698501</v>
      </c>
      <c r="I22" s="11">
        <v>653932</v>
      </c>
      <c r="J22" s="11">
        <v>569352</v>
      </c>
      <c r="K22" s="11">
        <v>487051</v>
      </c>
      <c r="M22" s="10" t="s">
        <v>38</v>
      </c>
      <c r="N22" s="11">
        <v>476526</v>
      </c>
      <c r="O22" s="11">
        <v>882816</v>
      </c>
      <c r="P22" s="11">
        <v>1022122</v>
      </c>
      <c r="Q22" s="11">
        <v>655053</v>
      </c>
    </row>
    <row r="23" spans="1:26">
      <c r="A23" s="6"/>
      <c r="B23" s="4">
        <f>B11+B12</f>
        <v>1335359</v>
      </c>
      <c r="C23" s="4">
        <f>C11+C12</f>
        <v>1467649</v>
      </c>
      <c r="D23" s="4">
        <f>D11+D12</f>
        <v>1450742</v>
      </c>
      <c r="E23" s="4">
        <f>E11+E12</f>
        <v>1466726</v>
      </c>
      <c r="G23" s="10" t="s">
        <v>39</v>
      </c>
      <c r="H23" s="18"/>
      <c r="I23" s="18"/>
      <c r="J23" s="18"/>
      <c r="K23" s="18"/>
      <c r="M23" s="10" t="s">
        <v>40</v>
      </c>
      <c r="N23" s="11">
        <v>304249</v>
      </c>
      <c r="O23" s="11">
        <v>676908</v>
      </c>
      <c r="P23" s="11">
        <v>893084</v>
      </c>
      <c r="Q23" s="11">
        <v>1022122</v>
      </c>
    </row>
    <row r="24" spans="1:26">
      <c r="A24" s="6"/>
      <c r="B24" s="6">
        <f>B16/(B22-B20)</f>
        <v>3.4868128136437386</v>
      </c>
      <c r="C24" s="6">
        <f>C16/(C22-C20)</f>
        <v>3.1002302923547735</v>
      </c>
      <c r="D24" s="6">
        <f>D16/(D22-D20)</f>
        <v>3.1851318194076943</v>
      </c>
      <c r="E24" s="6">
        <f>E16/(E22-E20)</f>
        <v>3.1445238489599534</v>
      </c>
      <c r="G24" s="10" t="s">
        <v>41</v>
      </c>
      <c r="H24" s="18"/>
      <c r="I24" s="18"/>
      <c r="J24" s="18"/>
      <c r="K24" s="18"/>
      <c r="M24" s="2" t="s">
        <v>42</v>
      </c>
      <c r="N24" s="12">
        <f>SUM(N11:N17)</f>
        <v>580634</v>
      </c>
      <c r="O24" s="12">
        <f>SUM(O11:O17)</f>
        <v>487083</v>
      </c>
      <c r="P24" s="12">
        <f>SUM(P11:P17)</f>
        <v>500445</v>
      </c>
      <c r="Q24" s="12">
        <f>SUM(Q11:Q17)</f>
        <v>786182</v>
      </c>
    </row>
    <row r="25" spans="1:26">
      <c r="A25" s="6"/>
      <c r="B25" s="6">
        <f ca="1">B24/B5*1000</f>
        <v>5.5158206240396601E-4</v>
      </c>
      <c r="G25" s="10" t="s">
        <v>43</v>
      </c>
      <c r="H25" s="18"/>
      <c r="I25" s="18"/>
      <c r="J25" s="18"/>
      <c r="K25" s="18"/>
      <c r="M25" s="2" t="s">
        <v>44</v>
      </c>
      <c r="N25" s="12">
        <f>N18+N19</f>
        <v>-188013</v>
      </c>
      <c r="O25" s="12">
        <f>O18+O19</f>
        <v>-108938</v>
      </c>
      <c r="P25" s="12">
        <f>P18+P19</f>
        <v>-162456</v>
      </c>
      <c r="Q25" s="12">
        <f>Q18+Q19</f>
        <v>-20197</v>
      </c>
    </row>
    <row r="26" spans="1:26">
      <c r="A26" s="6"/>
      <c r="B26" s="4">
        <f>B23-B17</f>
        <v>950932</v>
      </c>
      <c r="C26" s="4">
        <f>C23-C17</f>
        <v>1007819</v>
      </c>
      <c r="G26" s="10" t="s">
        <v>45</v>
      </c>
      <c r="H26" s="18"/>
      <c r="I26" s="18"/>
      <c r="J26" s="18"/>
      <c r="K26" s="18"/>
      <c r="M26" s="2" t="s">
        <v>46</v>
      </c>
      <c r="N26" s="12">
        <f>N20+N21</f>
        <v>-564898</v>
      </c>
      <c r="O26" s="12">
        <f>O20+O21</f>
        <v>-584053</v>
      </c>
      <c r="P26" s="12">
        <f>P20+P21</f>
        <v>-467027</v>
      </c>
      <c r="Q26" s="12">
        <f>Q20+Q21</f>
        <v>-398916</v>
      </c>
    </row>
    <row r="27" spans="1:26">
      <c r="A27" s="6"/>
      <c r="B27" s="6">
        <f>B22/90000</f>
        <v>20.535777777777778</v>
      </c>
      <c r="F27" s="6">
        <f>H20*0.025</f>
        <v>17462.525000000001</v>
      </c>
      <c r="G27" s="10" t="s">
        <v>47</v>
      </c>
      <c r="H27" s="18"/>
      <c r="I27" s="18"/>
      <c r="J27" s="18"/>
      <c r="K27" s="18"/>
      <c r="M27" s="2" t="s">
        <v>119</v>
      </c>
      <c r="N27" s="12">
        <f>N24+N18</f>
        <v>289047</v>
      </c>
      <c r="O27" s="12">
        <f>O24+O18</f>
        <v>375047</v>
      </c>
      <c r="P27" s="12">
        <f>P24+P18</f>
        <v>476307</v>
      </c>
      <c r="Q27" s="12">
        <f>Q24+Q18</f>
        <v>765816</v>
      </c>
    </row>
    <row r="28" spans="1:26">
      <c r="A28" s="6"/>
      <c r="G28" s="6"/>
      <c r="M28" s="2" t="s">
        <v>120</v>
      </c>
      <c r="N28" s="12">
        <f>(C11-B11)+(B17-C17)</f>
        <v>112510</v>
      </c>
      <c r="O28" s="12">
        <f>(D11-C11)+(C17-D17)</f>
        <v>35220</v>
      </c>
      <c r="P28" s="12">
        <f>(E11-D11)+(D17-E17)</f>
        <v>47519</v>
      </c>
      <c r="Q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0.64547672896083796</v>
      </c>
      <c r="C30" s="24">
        <f t="shared" si="0"/>
        <v>0.76321565146550097</v>
      </c>
      <c r="D30" s="24">
        <f t="shared" si="0"/>
        <v>0.81363190124474349</v>
      </c>
      <c r="E30" s="24">
        <f t="shared" si="0"/>
        <v>0.8950867564421765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0.30896187190375091</v>
      </c>
      <c r="O30" s="26">
        <f t="shared" ref="O30:O42" si="3">O11/I$11</f>
        <v>0.30615653997771475</v>
      </c>
      <c r="P30" s="26">
        <f t="shared" ref="P30:P42" si="4">P11/J$11</f>
        <v>0.3048742220875203</v>
      </c>
      <c r="Q30" s="26">
        <f t="shared" ref="Q30:Q42" si="5">Q11/K$11</f>
        <v>0.30455325090621682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7.7034119314800184E-2</v>
      </c>
      <c r="C31" s="24">
        <f t="shared" si="0"/>
        <v>4.7948033314302169E-2</v>
      </c>
      <c r="D31" s="24">
        <f t="shared" si="0"/>
        <v>4.5373748713630833E-2</v>
      </c>
      <c r="E31" s="24">
        <f t="shared" si="0"/>
        <v>4.7071761311226049E-2</v>
      </c>
      <c r="F31" s="6"/>
      <c r="G31" s="25" t="s">
        <v>10</v>
      </c>
      <c r="H31" s="24">
        <f t="shared" si="1"/>
        <v>0.62622788393489026</v>
      </c>
      <c r="I31" s="24">
        <f t="shared" si="1"/>
        <v>0.63020215923668266</v>
      </c>
      <c r="J31" s="24">
        <f t="shared" si="1"/>
        <v>0.6226202116414582</v>
      </c>
      <c r="K31" s="24">
        <f t="shared" si="1"/>
        <v>0.66243900974906067</v>
      </c>
      <c r="L31" s="6"/>
      <c r="M31" s="25" t="s">
        <v>11</v>
      </c>
      <c r="N31" s="26">
        <f t="shared" si="2"/>
        <v>1.0908085633404105E-2</v>
      </c>
      <c r="O31" s="26">
        <f t="shared" si="3"/>
        <v>8.6612919838572246E-3</v>
      </c>
      <c r="P31" s="26">
        <f t="shared" si="4"/>
        <v>8.2966621651000428E-3</v>
      </c>
      <c r="Q31" s="26">
        <f t="shared" si="5"/>
        <v>9.9166411856698618E-3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2.1642445163454566E-2</v>
      </c>
      <c r="C32" s="24">
        <f t="shared" si="0"/>
        <v>7.7377435523870108E-2</v>
      </c>
      <c r="D32" s="24">
        <f t="shared" si="0"/>
        <v>8.2896056634585893E-2</v>
      </c>
      <c r="E32" s="24">
        <f t="shared" si="0"/>
        <v>0</v>
      </c>
      <c r="F32" s="6"/>
      <c r="G32" s="25" t="s">
        <v>13</v>
      </c>
      <c r="H32" s="24">
        <f t="shared" si="1"/>
        <v>0.37377211606510968</v>
      </c>
      <c r="I32" s="24">
        <f t="shared" si="1"/>
        <v>0.36979784076331734</v>
      </c>
      <c r="J32" s="24">
        <f t="shared" si="1"/>
        <v>0.37737978835854175</v>
      </c>
      <c r="K32" s="24">
        <f t="shared" si="1"/>
        <v>0.33756099025093933</v>
      </c>
      <c r="L32" s="6"/>
      <c r="M32" s="25" t="s">
        <v>14</v>
      </c>
      <c r="N32" s="26">
        <f t="shared" si="2"/>
        <v>5.5480360934182594E-3</v>
      </c>
      <c r="O32" s="26">
        <f t="shared" si="3"/>
        <v>9.0311525604651821E-4</v>
      </c>
      <c r="P32" s="26">
        <f t="shared" si="4"/>
        <v>2.4026799493225694E-3</v>
      </c>
      <c r="Q32" s="26">
        <f t="shared" si="5"/>
        <v>-2.5362189702425727E-3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0.24783521442252546</v>
      </c>
      <c r="C33" s="24">
        <f t="shared" si="0"/>
        <v>0.10583961978938967</v>
      </c>
      <c r="D33" s="24">
        <f t="shared" si="0"/>
        <v>5.8098293407039772E-2</v>
      </c>
      <c r="E33" s="24">
        <f t="shared" si="0"/>
        <v>5.7841482246597443E-2</v>
      </c>
      <c r="F33" s="6"/>
      <c r="G33" s="25" t="s">
        <v>16</v>
      </c>
      <c r="H33" s="24">
        <f t="shared" si="1"/>
        <v>1.308784501061571E-2</v>
      </c>
      <c r="I33" s="24">
        <f t="shared" si="1"/>
        <v>9.6482110920718747E-3</v>
      </c>
      <c r="J33" s="24">
        <f t="shared" si="1"/>
        <v>1.2605635989971609E-2</v>
      </c>
      <c r="K33" s="24">
        <f t="shared" si="1"/>
        <v>5.512712047227699E-2</v>
      </c>
      <c r="L33" s="6"/>
      <c r="M33" s="25" t="s">
        <v>9</v>
      </c>
      <c r="N33" s="26">
        <f t="shared" si="2"/>
        <v>-2.5422859164897383E-2</v>
      </c>
      <c r="O33" s="26">
        <f t="shared" si="3"/>
        <v>-5.7150481755105483E-3</v>
      </c>
      <c r="P33" s="26">
        <f t="shared" si="4"/>
        <v>-1.1068284945954427E-3</v>
      </c>
      <c r="Q33" s="26">
        <f t="shared" si="5"/>
        <v>-5.8002877633062389E-3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8.0114921383817941E-3</v>
      </c>
      <c r="C34" s="24">
        <f t="shared" si="0"/>
        <v>5.6192599069370529E-3</v>
      </c>
      <c r="D34" s="24">
        <f t="shared" si="0"/>
        <v>0</v>
      </c>
      <c r="E34" s="24">
        <f t="shared" si="0"/>
        <v>0</v>
      </c>
      <c r="F34" s="6"/>
      <c r="G34" s="25" t="s">
        <v>18</v>
      </c>
      <c r="H34" s="24">
        <f t="shared" si="1"/>
        <v>0.3868599610757254</v>
      </c>
      <c r="I34" s="24">
        <f t="shared" si="1"/>
        <v>0.37944605185538921</v>
      </c>
      <c r="J34" s="24">
        <f t="shared" si="1"/>
        <v>0.38998542434851335</v>
      </c>
      <c r="K34" s="24">
        <f t="shared" si="1"/>
        <v>0.39268811072321635</v>
      </c>
      <c r="L34" s="6"/>
      <c r="M34" s="25" t="s">
        <v>19</v>
      </c>
      <c r="N34" s="26">
        <f t="shared" si="2"/>
        <v>8.9976999292285913E-3</v>
      </c>
      <c r="O34" s="26">
        <f t="shared" si="3"/>
        <v>-3.9797934398906339E-2</v>
      </c>
      <c r="P34" s="26">
        <f t="shared" si="4"/>
        <v>-3.4730960889917954E-3</v>
      </c>
      <c r="Q34" s="26">
        <f t="shared" si="5"/>
        <v>-1.9520632103804891E-2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6.8838021939136587E-2</v>
      </c>
      <c r="I35" s="24">
        <f t="shared" si="1"/>
        <v>6.6130134741612598E-2</v>
      </c>
      <c r="J35" s="24">
        <f t="shared" si="1"/>
        <v>7.8235157413823198E-2</v>
      </c>
      <c r="K35" s="24">
        <f t="shared" si="1"/>
        <v>7.5797054959539922E-2</v>
      </c>
      <c r="L35" s="6"/>
      <c r="M35" s="25" t="s">
        <v>22</v>
      </c>
      <c r="N35" s="26">
        <f t="shared" si="2"/>
        <v>1.5515746638358103E-2</v>
      </c>
      <c r="O35" s="26">
        <f t="shared" si="3"/>
        <v>1.0278378606140622E-2</v>
      </c>
      <c r="P35" s="26">
        <f t="shared" si="4"/>
        <v>-2.9975935717200231E-3</v>
      </c>
      <c r="Q35" s="26">
        <f t="shared" si="5"/>
        <v>2.2542084289261525E-2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0.20799850667128372</v>
      </c>
      <c r="C36" s="24">
        <f t="shared" si="0"/>
        <v>0.25414618697815139</v>
      </c>
      <c r="D36" s="24">
        <f t="shared" si="0"/>
        <v>0.2474009125671606</v>
      </c>
      <c r="E36" s="24">
        <f t="shared" si="0"/>
        <v>0.25028777495998128</v>
      </c>
      <c r="F36" s="6"/>
      <c r="G36" s="25" t="s">
        <v>11</v>
      </c>
      <c r="H36" s="24">
        <f t="shared" si="1"/>
        <v>9.0600672328379327E-3</v>
      </c>
      <c r="I36" s="24">
        <f t="shared" si="1"/>
        <v>7.1593771360618742E-3</v>
      </c>
      <c r="J36" s="24">
        <f t="shared" si="1"/>
        <v>6.8760448471698495E-3</v>
      </c>
      <c r="K36" s="24">
        <f t="shared" si="1"/>
        <v>0</v>
      </c>
      <c r="L36" s="6"/>
      <c r="M36" s="25" t="s">
        <v>24</v>
      </c>
      <c r="N36" s="26">
        <f t="shared" si="2"/>
        <v>-6.7681794055201694E-2</v>
      </c>
      <c r="O36" s="26">
        <f t="shared" si="3"/>
        <v>-5.2444825229173105E-2</v>
      </c>
      <c r="P36" s="26">
        <f t="shared" si="4"/>
        <v>-4.001985544295094E-2</v>
      </c>
      <c r="Q36" s="26">
        <f t="shared" si="5"/>
        <v>0.18244518771834714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7.8796355412234481E-2</v>
      </c>
      <c r="C37" s="24">
        <f t="shared" si="0"/>
        <v>6.8410496138589613E-2</v>
      </c>
      <c r="D37" s="24">
        <f t="shared" si="0"/>
        <v>6.6557835986599256E-2</v>
      </c>
      <c r="E37" s="24">
        <f t="shared" si="0"/>
        <v>6.7725395883276418E-2</v>
      </c>
      <c r="F37" s="6"/>
      <c r="G37" s="25" t="s">
        <v>26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1.2337804857459616E-2</v>
      </c>
      <c r="L37" s="6"/>
      <c r="M37" s="25" t="s">
        <v>27</v>
      </c>
      <c r="N37" s="26">
        <f t="shared" si="2"/>
        <v>-0.1289751415428167</v>
      </c>
      <c r="O37" s="26">
        <f t="shared" si="3"/>
        <v>-5.2452784254239354E-2</v>
      </c>
      <c r="P37" s="26">
        <f t="shared" si="4"/>
        <v>-1.2925315047191483E-2</v>
      </c>
      <c r="Q37" s="26">
        <f t="shared" si="5"/>
        <v>-1.2734870697228855E-2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7.7898089171974522E-2</v>
      </c>
      <c r="I38" s="24">
        <f t="shared" si="1"/>
        <v>7.3289511877674463E-2</v>
      </c>
      <c r="J38" s="24">
        <f t="shared" si="1"/>
        <v>8.5111202260993057E-2</v>
      </c>
      <c r="K38" s="24">
        <f t="shared" si="1"/>
        <v>8.8134859816999547E-2</v>
      </c>
      <c r="L38" s="6"/>
      <c r="M38" s="25" t="s">
        <v>30</v>
      </c>
      <c r="N38" s="26">
        <f t="shared" si="2"/>
        <v>4.5812986553432411E-2</v>
      </c>
      <c r="O38" s="26">
        <f t="shared" si="3"/>
        <v>1.4504152738372801E-3</v>
      </c>
      <c r="P38" s="26">
        <f t="shared" si="4"/>
        <v>-7.4065942774771382E-2</v>
      </c>
      <c r="Q38" s="26">
        <f t="shared" si="5"/>
        <v>1.0567579042677387E-4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0.71320513791648177</v>
      </c>
      <c r="C39" s="24">
        <f t="shared" si="0"/>
        <v>0.67744331688325898</v>
      </c>
      <c r="D39" s="24">
        <f t="shared" si="0"/>
        <v>0.68604125144624017</v>
      </c>
      <c r="E39" s="24">
        <f t="shared" si="0"/>
        <v>0.68198682915674225</v>
      </c>
      <c r="F39" s="6"/>
      <c r="G39" s="25" t="s">
        <v>32</v>
      </c>
      <c r="H39" s="24">
        <f t="shared" si="1"/>
        <v>0.30896187190375091</v>
      </c>
      <c r="I39" s="24">
        <f t="shared" si="1"/>
        <v>0.30615653997771475</v>
      </c>
      <c r="J39" s="24">
        <f t="shared" si="1"/>
        <v>0.3048742220875203</v>
      </c>
      <c r="K39" s="24">
        <f t="shared" si="1"/>
        <v>0.30455325090621682</v>
      </c>
      <c r="L39" s="6"/>
      <c r="M39" s="25" t="s">
        <v>33</v>
      </c>
      <c r="N39" s="26">
        <f t="shared" si="2"/>
        <v>0</v>
      </c>
      <c r="O39" s="26">
        <f t="shared" si="3"/>
        <v>0</v>
      </c>
      <c r="P39" s="26">
        <f t="shared" si="4"/>
        <v>0</v>
      </c>
      <c r="Q39" s="26">
        <f t="shared" si="5"/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0</v>
      </c>
      <c r="I40" s="24">
        <f t="shared" si="1"/>
        <v>0</v>
      </c>
      <c r="J40" s="24">
        <f t="shared" si="1"/>
        <v>0</v>
      </c>
      <c r="K40" s="24">
        <f t="shared" si="1"/>
        <v>0</v>
      </c>
      <c r="L40" s="6"/>
      <c r="M40" s="25" t="s">
        <v>36</v>
      </c>
      <c r="N40" s="26">
        <f t="shared" si="2"/>
        <v>-0.24986641896673745</v>
      </c>
      <c r="O40" s="26">
        <f t="shared" si="3"/>
        <v>-0.27344073335393315</v>
      </c>
      <c r="P40" s="26">
        <f t="shared" si="4"/>
        <v>-0.25008166006068011</v>
      </c>
      <c r="Q40" s="26">
        <f t="shared" si="5"/>
        <v>-0.24944238824785162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0.30896187190375091</v>
      </c>
      <c r="I41" s="24">
        <f t="shared" si="1"/>
        <v>0.30615653997771475</v>
      </c>
      <c r="J41" s="24">
        <f t="shared" si="1"/>
        <v>0.3048742220875203</v>
      </c>
      <c r="K41" s="24">
        <f t="shared" si="1"/>
        <v>0.30455325090621682</v>
      </c>
      <c r="L41" s="6"/>
      <c r="M41" s="25" t="s">
        <v>38</v>
      </c>
      <c r="N41" s="26">
        <f t="shared" si="2"/>
        <v>0.2107776008492569</v>
      </c>
      <c r="O41" s="26">
        <f t="shared" si="3"/>
        <v>0.41331498075788647</v>
      </c>
      <c r="P41" s="26">
        <f t="shared" si="4"/>
        <v>0.54732160355727288</v>
      </c>
      <c r="Q41" s="26">
        <f t="shared" si="5"/>
        <v>0.40960499139899115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</v>
      </c>
      <c r="I42" s="24">
        <f t="shared" si="1"/>
        <v>0</v>
      </c>
      <c r="J42" s="24">
        <f t="shared" si="1"/>
        <v>0</v>
      </c>
      <c r="K42" s="24">
        <f t="shared" si="1"/>
        <v>0</v>
      </c>
      <c r="L42" s="6"/>
      <c r="M42" s="25" t="s">
        <v>40</v>
      </c>
      <c r="N42" s="26">
        <f t="shared" si="2"/>
        <v>0.13457581387119605</v>
      </c>
      <c r="O42" s="26">
        <f t="shared" si="3"/>
        <v>0.31691339644372035</v>
      </c>
      <c r="P42" s="26">
        <f t="shared" si="4"/>
        <v>0.47822487627831461</v>
      </c>
      <c r="Q42" s="26">
        <f t="shared" si="5"/>
        <v>0.639133433506479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0</v>
      </c>
      <c r="K43" s="24">
        <f t="shared" si="1"/>
        <v>0</v>
      </c>
      <c r="L43" s="6"/>
      <c r="M43" s="2" t="s">
        <v>49</v>
      </c>
      <c r="N43" s="26">
        <f>N24/H11</f>
        <v>0.25682678697806088</v>
      </c>
      <c r="O43" s="26">
        <f>O24/I11</f>
        <v>0.22804151802016911</v>
      </c>
      <c r="P43" s="26">
        <f>P24/J11</f>
        <v>0.26797619060368472</v>
      </c>
      <c r="Q43" s="26">
        <f>Q24/K11</f>
        <v>0.49160002526214164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</v>
      </c>
      <c r="I44" s="24">
        <f t="shared" si="1"/>
        <v>0</v>
      </c>
      <c r="J44" s="24">
        <f t="shared" si="1"/>
        <v>0</v>
      </c>
      <c r="K44" s="24">
        <f t="shared" si="1"/>
        <v>0</v>
      </c>
      <c r="L44" s="6"/>
      <c r="M44" s="2" t="s">
        <v>50</v>
      </c>
      <c r="N44" s="26">
        <f>N24/B16</f>
        <v>0.31415848762593196</v>
      </c>
      <c r="O44" s="26">
        <f>O24/C16</f>
        <v>0.26920881019480875</v>
      </c>
      <c r="P44" s="26">
        <f>P24/D16</f>
        <v>0.296320836160681</v>
      </c>
      <c r="Q44" s="26">
        <f>Q24/E16</f>
        <v>0.50500779818753161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0</v>
      </c>
      <c r="J45" s="24">
        <f t="shared" si="1"/>
        <v>0</v>
      </c>
      <c r="K45" s="24">
        <f t="shared" si="1"/>
        <v>0</v>
      </c>
      <c r="L45" s="6"/>
      <c r="M45" s="2" t="s">
        <v>51</v>
      </c>
      <c r="N45" s="26">
        <f>N24/B20</f>
        <v>0.44048825635734662</v>
      </c>
      <c r="O45" s="26">
        <f>O24/C20</f>
        <v>0.39738942504203695</v>
      </c>
      <c r="P45" s="26">
        <f>P24/D20</f>
        <v>0.43192859836927955</v>
      </c>
      <c r="Q45" s="26">
        <f>Q24/E20</f>
        <v>0.74049494300639163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</v>
      </c>
      <c r="I46" s="24">
        <f t="shared" si="1"/>
        <v>0</v>
      </c>
      <c r="J46" s="24">
        <f t="shared" si="1"/>
        <v>0</v>
      </c>
      <c r="K46" s="24">
        <f t="shared" si="1"/>
        <v>0</v>
      </c>
      <c r="L46" s="6"/>
      <c r="M46" s="2" t="s">
        <v>52</v>
      </c>
      <c r="N46" s="26">
        <f>N24/H22</f>
        <v>0.83125722082001319</v>
      </c>
      <c r="O46" s="26">
        <f>O24/I22</f>
        <v>0.74485267581338732</v>
      </c>
      <c r="P46" s="26">
        <f>P24/J22</f>
        <v>0.87897293765543982</v>
      </c>
      <c r="Q46" s="26">
        <f>Q24/K22</f>
        <v>1.6141677154959131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1.0954118401690374</v>
      </c>
      <c r="O47" s="26">
        <f>O24/(C22-C20)</f>
        <v>0.83460930833473268</v>
      </c>
      <c r="P47" s="26">
        <f>P24/(D22-D20)</f>
        <v>0.94382092400887907</v>
      </c>
      <c r="Q47" s="26">
        <f>Q24/(E22-E20)</f>
        <v>1.5880090653114485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>N24/H25</f>
        <v>#DIV/0!</v>
      </c>
      <c r="O48" s="26" t="e">
        <f>O24/I25</f>
        <v>#DIV/0!</v>
      </c>
      <c r="P48" s="26" t="e">
        <f>P24/J25</f>
        <v>#DIV/0!</v>
      </c>
      <c r="Q48" s="26" t="e">
        <f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1.9912890492374489</v>
      </c>
      <c r="O49" s="26">
        <f>O24/(O18*-1)</f>
        <v>4.3475579278089187</v>
      </c>
      <c r="P49" s="26">
        <f>P24/(P18*-1)</f>
        <v>20.732662192393736</v>
      </c>
      <c r="Q49" s="26">
        <f>Q24/(Q18*-1)</f>
        <v>38.602671118530886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G50" s="2" t="s">
        <v>56</v>
      </c>
      <c r="H50" s="28">
        <f>LN(H22/I22)</f>
        <v>6.5933239819018774E-2</v>
      </c>
      <c r="I50" s="28">
        <f>LN(I15/J15)</f>
        <v>0.10691032966385733</v>
      </c>
      <c r="J50" s="28">
        <f>LN(J22/K22)</f>
        <v>0.15613003163602437</v>
      </c>
      <c r="M50" s="2" t="s">
        <v>121</v>
      </c>
      <c r="N50" s="32">
        <f ca="1">(H15-H16-N28-N25)/($B$6)</f>
        <v>0.13333781816702972</v>
      </c>
      <c r="O50" s="32">
        <f ca="1">(I15-I16-O28-O25)/($B$6)</f>
        <v>0.12468708148106815</v>
      </c>
      <c r="P50" s="32">
        <f ca="1">(J15-J16-P28-P25)/($B$6)</f>
        <v>0.11699850743785792</v>
      </c>
    </row>
    <row r="51" spans="1:26">
      <c r="A51" s="29" t="s">
        <v>57</v>
      </c>
      <c r="B51" s="30">
        <f>B23/B17</f>
        <v>3.4736347863183386</v>
      </c>
      <c r="C51" s="30">
        <f>C23/C17</f>
        <v>3.1917208533588499</v>
      </c>
      <c r="D51" s="30">
        <f>D23/D17</f>
        <v>3.4721199733860506</v>
      </c>
      <c r="E51" s="30">
        <f>E23/E17</f>
        <v>3.7643009847526314</v>
      </c>
      <c r="G51" s="29" t="s">
        <v>58</v>
      </c>
      <c r="H51" s="63">
        <f>H13/H11</f>
        <v>0.37377211606510968</v>
      </c>
      <c r="I51" s="63">
        <f>I13/I11</f>
        <v>0.36979784076331734</v>
      </c>
      <c r="J51" s="63">
        <f>J13/J11</f>
        <v>0.37737978835854175</v>
      </c>
      <c r="K51" s="63">
        <f>K13/K11</f>
        <v>0.33756099025093933</v>
      </c>
      <c r="M51" s="2" t="s">
        <v>59</v>
      </c>
      <c r="N51" s="32">
        <f>(N11-N24-N25)/B16</f>
        <v>0.16549977816493708</v>
      </c>
      <c r="O51" s="32">
        <f>(O11-O24-O25)/C16</f>
        <v>0.15242636293443976</v>
      </c>
      <c r="P51" s="32">
        <f>(P11-P24-P25)/D16</f>
        <v>0.13699343107962639</v>
      </c>
      <c r="Q51" s="32">
        <f>(Q11-Q24-Q25)/E16</f>
        <v>-0.17917459974871081</v>
      </c>
    </row>
    <row r="52" spans="1:26">
      <c r="A52" s="29" t="s">
        <v>60</v>
      </c>
      <c r="B52" s="31">
        <f>H20/B16</f>
        <v>0.37793173972795446</v>
      </c>
      <c r="C52" s="31">
        <f>I20/C16</f>
        <v>0.36142557976425305</v>
      </c>
      <c r="D52" s="31">
        <f>J20/D16</f>
        <v>0.3371216831215339</v>
      </c>
      <c r="E52" s="31">
        <f>K20/E16</f>
        <v>0.31285955811127125</v>
      </c>
      <c r="F52" s="31"/>
      <c r="G52" s="29" t="s">
        <v>61</v>
      </c>
      <c r="H52" s="63">
        <f>H16/H11</f>
        <v>6.8838021939136587E-2</v>
      </c>
      <c r="I52" s="63">
        <f>I16/I11</f>
        <v>6.6130134741612598E-2</v>
      </c>
      <c r="J52" s="63">
        <f>J16/J11</f>
        <v>7.8235157413823198E-2</v>
      </c>
      <c r="K52" s="63">
        <f>K16/K11</f>
        <v>7.5797054959539922E-2</v>
      </c>
      <c r="M52" s="6"/>
      <c r="N52" s="4">
        <f>N24+N18</f>
        <v>289047</v>
      </c>
      <c r="O52" s="4">
        <f>O24+O18</f>
        <v>375047</v>
      </c>
      <c r="P52" s="4">
        <f>P24+P18</f>
        <v>476307</v>
      </c>
      <c r="Q52" s="4">
        <f>Q24+Q18</f>
        <v>765816</v>
      </c>
      <c r="R52" s="4">
        <f>AVERAGE(N52:Q52)</f>
        <v>476554.25</v>
      </c>
    </row>
    <row r="53" spans="1:26">
      <c r="A53" s="29" t="s">
        <v>62</v>
      </c>
      <c r="B53" s="31">
        <f>H20/B20</f>
        <v>0.52990608120410265</v>
      </c>
      <c r="C53" s="31">
        <f>I20/C20</f>
        <v>0.5335141269487732</v>
      </c>
      <c r="D53" s="31">
        <f>J20/D20</f>
        <v>0.49140147536441775</v>
      </c>
      <c r="E53" s="31">
        <f>K20/E20</f>
        <v>0.45874721436792759</v>
      </c>
      <c r="G53" s="29" t="s">
        <v>11</v>
      </c>
      <c r="H53" s="71">
        <f>H17/H11</f>
        <v>9.0600672328379327E-3</v>
      </c>
      <c r="I53" s="71">
        <f>I17/I11</f>
        <v>7.1593771360618742E-3</v>
      </c>
      <c r="J53" s="71">
        <f>J17/J11</f>
        <v>6.8760448471698495E-3</v>
      </c>
      <c r="K53" s="71">
        <f>K17/K11</f>
        <v>0</v>
      </c>
      <c r="M53" s="6"/>
      <c r="N53" s="28">
        <f>LN(N52/O52)</f>
        <v>-0.26046204680274604</v>
      </c>
      <c r="O53" s="28">
        <f>LN(O52/P52)</f>
        <v>-0.23901125286841973</v>
      </c>
      <c r="P53" s="28">
        <f>LN(P52/Q52)</f>
        <v>-0.47487932768993552</v>
      </c>
    </row>
    <row r="54" spans="1:26">
      <c r="A54" s="29" t="s">
        <v>63</v>
      </c>
      <c r="B54" s="30">
        <f>H11/B12</f>
        <v>15.879080743945609</v>
      </c>
      <c r="C54" s="30">
        <f>I11/C12</f>
        <v>24.620935299067469</v>
      </c>
      <c r="D54" s="30">
        <f>J11/D12</f>
        <v>24.370324938013834</v>
      </c>
      <c r="E54" s="30">
        <f>K11/E12</f>
        <v>21.823567139737992</v>
      </c>
      <c r="G54" s="29" t="s">
        <v>64</v>
      </c>
      <c r="H54" s="63">
        <f>H25/H22</f>
        <v>0</v>
      </c>
      <c r="I54" s="63">
        <f>I25/I22</f>
        <v>0</v>
      </c>
      <c r="J54" s="63">
        <f>J25/J22</f>
        <v>0</v>
      </c>
      <c r="K54" s="63">
        <f>K25/K22</f>
        <v>0</v>
      </c>
      <c r="M54" s="6"/>
    </row>
    <row r="55" spans="1:26">
      <c r="A55" s="29" t="s">
        <v>65</v>
      </c>
      <c r="B55" s="31">
        <f>(B22-B20)/B16</f>
        <v>0.28679486208351818</v>
      </c>
      <c r="C55" s="31">
        <f>(C22-C20)/C16</f>
        <v>0.32255668311674102</v>
      </c>
      <c r="D55" s="31">
        <f>(D22-D20)/D16</f>
        <v>0.31395874855375988</v>
      </c>
      <c r="E55" s="31">
        <f>(E22-E20)/E16</f>
        <v>0.3180131708432577</v>
      </c>
      <c r="G55" s="29" t="s">
        <v>66</v>
      </c>
      <c r="H55" s="63">
        <f>H22/H11</f>
        <v>0.30896187190375091</v>
      </c>
      <c r="I55" s="63">
        <f>I22/I11</f>
        <v>0.30615653997771475</v>
      </c>
      <c r="J55" s="63">
        <f>J22/J11</f>
        <v>0.3048742220875203</v>
      </c>
      <c r="K55" s="63">
        <f>K22/K11</f>
        <v>0.30455325090621682</v>
      </c>
      <c r="L55" s="31"/>
      <c r="M55" s="6"/>
    </row>
    <row r="56" spans="1:26">
      <c r="A56" s="29" t="s">
        <v>67</v>
      </c>
      <c r="B56" s="31">
        <f>(B22-B20)/B20</f>
        <v>0.40212113855677611</v>
      </c>
      <c r="C56" s="31">
        <f>(C22-C20)/C20</f>
        <v>0.47613826142789428</v>
      </c>
      <c r="D56" s="31">
        <f>(D22-D20)/D20</f>
        <v>0.45763829491580132</v>
      </c>
      <c r="E56" s="31">
        <f>(E22-E20)/E20</f>
        <v>0.4663039772138593</v>
      </c>
      <c r="G56" s="33" t="s">
        <v>68</v>
      </c>
      <c r="H56" s="34">
        <f>H13/B16</f>
        <v>0.45720963954507582</v>
      </c>
      <c r="I56" s="34">
        <f>I13/C16</f>
        <v>0.43655575348212278</v>
      </c>
      <c r="J56" s="34">
        <f>J13/D16</f>
        <v>0.41729638063974439</v>
      </c>
      <c r="K56" s="34">
        <f>K13/E16</f>
        <v>0.34676754206781724</v>
      </c>
      <c r="M56" s="6"/>
    </row>
    <row r="57" spans="1:26">
      <c r="A57" s="29" t="s">
        <v>69</v>
      </c>
      <c r="B57" s="30">
        <f>H11/B16</f>
        <v>1.2232310006384521</v>
      </c>
      <c r="C57" s="30">
        <f>I11/C16</f>
        <v>1.1805254259489653</v>
      </c>
      <c r="D57" s="30">
        <f>J11/D16</f>
        <v>1.1057729998069705</v>
      </c>
      <c r="E57" s="30">
        <f>K11/E16</f>
        <v>1.0272737433612629</v>
      </c>
      <c r="G57" s="33" t="s">
        <v>70</v>
      </c>
      <c r="H57" s="35">
        <f ca="1">H25/$B$5</f>
        <v>0</v>
      </c>
      <c r="I57" s="35">
        <f ca="1">I25/$B$5</f>
        <v>0</v>
      </c>
      <c r="J57" s="35">
        <f ca="1">J25/$B$5</f>
        <v>0</v>
      </c>
      <c r="K57" s="35">
        <f ca="1">K25/$B$5</f>
        <v>0</v>
      </c>
      <c r="M57" s="6"/>
    </row>
    <row r="58" spans="1:26">
      <c r="A58" s="29" t="s">
        <v>71</v>
      </c>
      <c r="B58" s="30">
        <f>B16/B20</f>
        <v>1.402121138556776</v>
      </c>
      <c r="C58" s="30">
        <f>C16/C20</f>
        <v>1.4761382614278942</v>
      </c>
      <c r="D58" s="30">
        <f>D16/D20</f>
        <v>1.4576382949158013</v>
      </c>
      <c r="E58" s="30">
        <f>E16/E20</f>
        <v>1.4663039772138593</v>
      </c>
      <c r="G58" s="36" t="s">
        <v>72</v>
      </c>
      <c r="H58" s="37">
        <f ca="1">H22/$B$7/1000</f>
        <v>8.5082307178432099</v>
      </c>
      <c r="I58" s="37">
        <f ca="1">I22/$B$7/1000</f>
        <v>7.9653491258862124</v>
      </c>
      <c r="J58" s="37">
        <f ca="1">J22/$B$7/1000</f>
        <v>6.9351055698781625</v>
      </c>
      <c r="K58" s="37">
        <f ca="1">K22/$B$7/1000</f>
        <v>5.9326218278230858</v>
      </c>
      <c r="M58" s="6"/>
    </row>
    <row r="59" spans="1:26">
      <c r="A59" s="6"/>
      <c r="G59" s="36" t="s">
        <v>73</v>
      </c>
      <c r="H59" s="37">
        <f ca="1">B20/$B$7/1000</f>
        <v>16.056110732886861</v>
      </c>
      <c r="I59" s="37">
        <f ca="1">C20/$B$7/1000</f>
        <v>14.929968530432234</v>
      </c>
      <c r="J59" s="37">
        <f ca="1">D20/$B$7/1000</f>
        <v>14.112911575479433</v>
      </c>
      <c r="K59" s="37">
        <f ca="1">E20/$B$7/1000</f>
        <v>12.93222420107158</v>
      </c>
      <c r="L59" s="65"/>
      <c r="M59" s="6"/>
    </row>
    <row r="60" spans="1:26">
      <c r="A60" s="6"/>
      <c r="G60" s="33" t="s">
        <v>74</v>
      </c>
      <c r="H60" s="38">
        <f ca="1">SQRT(22.5*H58*H59)</f>
        <v>55.441001319415228</v>
      </c>
      <c r="I60" s="38">
        <f ca="1">SQRT(22.5*I58*I59)</f>
        <v>51.727693406203684</v>
      </c>
      <c r="J60" s="38">
        <f ca="1">SQRT(22.5*J58*J59)</f>
        <v>46.927358360255823</v>
      </c>
      <c r="K60" s="38">
        <f ca="1">SQRT(22.5*K58*K59)</f>
        <v>41.54810345245054</v>
      </c>
      <c r="M60" s="6"/>
    </row>
    <row r="61" spans="1:26">
      <c r="A61" s="6"/>
      <c r="G61" s="33" t="s">
        <v>75</v>
      </c>
      <c r="H61" s="39">
        <f ca="1">H58-(B20*0.08/1000/$B$7)</f>
        <v>7.2237418592122609</v>
      </c>
      <c r="I61" s="39">
        <f ca="1">I58-(C20*0.08/1000/$B$7)</f>
        <v>6.7709516434516335</v>
      </c>
      <c r="J61" s="39">
        <f ca="1">J58-(D20*0.08/1000/$B$7)</f>
        <v>5.8060726438398076</v>
      </c>
      <c r="K61" s="39">
        <f ca="1">K58-(E20*0.08/1000/$B$7)</f>
        <v>4.898043891737359</v>
      </c>
      <c r="M61" s="6"/>
    </row>
    <row r="62" spans="1:26">
      <c r="A62" s="6"/>
      <c r="G62" s="40" t="s">
        <v>76</v>
      </c>
      <c r="H62" s="41">
        <f ca="1">H25/$B$7/1000</f>
        <v>0</v>
      </c>
      <c r="I62" s="41">
        <f ca="1">I25/$B$7/1000</f>
        <v>0</v>
      </c>
      <c r="J62" s="41">
        <f ca="1">J25/$B$7/1000</f>
        <v>0</v>
      </c>
      <c r="K62" s="41">
        <f ca="1">K25/$B$7/1000</f>
        <v>0</v>
      </c>
      <c r="M62" s="6"/>
    </row>
    <row r="63" spans="1:26">
      <c r="A63" s="2"/>
      <c r="G63" s="6"/>
      <c r="M63" s="6"/>
    </row>
    <row r="64" spans="1:26">
      <c r="A64" s="6"/>
      <c r="G64" s="2" t="s">
        <v>85</v>
      </c>
      <c r="H64" s="47">
        <f ca="1">SUM(H62:J62)</f>
        <v>0</v>
      </c>
      <c r="M64" s="6"/>
    </row>
    <row r="65" spans="1:13">
      <c r="A65" s="6"/>
      <c r="G65" s="2" t="s">
        <v>105</v>
      </c>
      <c r="H65" s="6">
        <f>I51/H51</f>
        <v>0.98936711667089683</v>
      </c>
      <c r="I65" s="6">
        <f>J51/I51</f>
        <v>1.0205029525850506</v>
      </c>
      <c r="J65" s="6">
        <f>K51/J51</f>
        <v>0.89448614012743233</v>
      </c>
      <c r="M65" s="6"/>
    </row>
    <row r="66" spans="1:13">
      <c r="A66" s="6"/>
      <c r="G66" s="2" t="s">
        <v>106</v>
      </c>
      <c r="H66" s="6">
        <f>H11/I11</f>
        <v>1.0584566982218602</v>
      </c>
      <c r="I66" s="6">
        <f>I11/J11</f>
        <v>1.1437441967809336</v>
      </c>
      <c r="J66" s="6">
        <f>J11/K11</f>
        <v>1.1677474986415346</v>
      </c>
      <c r="M66" s="6"/>
    </row>
    <row r="67" spans="1:13">
      <c r="A67" s="6"/>
      <c r="G67" s="2" t="s">
        <v>107</v>
      </c>
      <c r="H67" s="6">
        <f>(N13/152738)/(O13/140619)</f>
        <v>5.9864050734109648</v>
      </c>
      <c r="I67" s="6">
        <f>(O13/I11)/(P13/J11)</f>
        <v>0.37587830052069554</v>
      </c>
      <c r="J67" s="6">
        <f>(P13/J11)/(Q13/K11)</f>
        <v>-0.94734720365756464</v>
      </c>
      <c r="M67" s="6"/>
    </row>
    <row r="68" spans="1:13">
      <c r="A68" s="6"/>
      <c r="G68" s="2" t="s">
        <v>108</v>
      </c>
      <c r="H68" s="6">
        <f t="shared" ref="H68:J69" si="6">H52/I52</f>
        <v>1.0409478554384382</v>
      </c>
      <c r="I68" s="6">
        <f t="shared" si="6"/>
        <v>0.84527387593558045</v>
      </c>
      <c r="J68" s="6">
        <f t="shared" si="6"/>
        <v>1.0321661897759051</v>
      </c>
      <c r="M68" s="6"/>
    </row>
    <row r="69" spans="1:13">
      <c r="A69" s="6"/>
      <c r="G69" s="2" t="s">
        <v>109</v>
      </c>
      <c r="H69" s="6">
        <f t="shared" si="6"/>
        <v>1.2654826056309085</v>
      </c>
      <c r="I69" s="6">
        <f t="shared" si="6"/>
        <v>1.0412057069419265</v>
      </c>
      <c r="J69" s="6" t="e">
        <f t="shared" si="6"/>
        <v>#DIV/0!</v>
      </c>
      <c r="M69" s="6"/>
    </row>
    <row r="70" spans="1:13">
      <c r="A70" s="6"/>
      <c r="G70" s="2" t="s">
        <v>110</v>
      </c>
      <c r="H70" s="6">
        <f>B58/C58</f>
        <v>0.94985759477603393</v>
      </c>
      <c r="I70" s="6">
        <f>C58/D58</f>
        <v>1.0126917401776696</v>
      </c>
      <c r="J70" s="6">
        <f>D58/E58</f>
        <v>0.99409011880706777</v>
      </c>
      <c r="M70" s="6"/>
    </row>
    <row r="71" spans="1:13">
      <c r="A71" s="6"/>
      <c r="G71" s="2" t="s">
        <v>111</v>
      </c>
      <c r="H71" s="6">
        <f>((1-B11)/B16)/((1-C11)/C16)</f>
        <v>0.84573299052961026</v>
      </c>
      <c r="I71" s="6">
        <f>((1-C11)/C16)/((1-D11)/D16)</f>
        <v>0.9380355576355266</v>
      </c>
      <c r="J71" s="6">
        <f>((1-D11)/D16)/((1-E11)/E16)</f>
        <v>0.90899780068607738</v>
      </c>
      <c r="M71" s="6"/>
    </row>
    <row r="72" spans="1:13">
      <c r="A72" s="6"/>
      <c r="G72" s="2" t="s">
        <v>112</v>
      </c>
      <c r="H72" s="6">
        <f>((H13-H16-H17)-N24)/B16</f>
        <v>4.7763794353486058E-2</v>
      </c>
      <c r="I72" s="6">
        <f>((I13-I16-I17)-O24)/C16</f>
        <v>8.0826811060330628E-2</v>
      </c>
      <c r="J72" s="6">
        <f>((J13-J16-J17)-P24)/D16</f>
        <v>2.6861875037747313E-2</v>
      </c>
      <c r="K72" s="6">
        <f>((K13-K16-K17)-Q24)/E16</f>
        <v>-0.23610458050376035</v>
      </c>
      <c r="M72" s="6"/>
    </row>
    <row r="73" spans="1:13">
      <c r="A73" s="6"/>
      <c r="G73" s="2" t="s">
        <v>113</v>
      </c>
      <c r="H73" s="6">
        <f>-4.84 + 0.92 *H67  + 0.528 *H65 + 0.404 *H71 + 0.892 *H66 + 0.115 *H69 - 0.172 *H68- 0.327 *H70 + 4.697 *H72</f>
        <v>2.3559285852268879</v>
      </c>
      <c r="I73" s="6">
        <f>-4.84 + 0.92 *I67  + 0.528 *I65 + 0.404 *I71 + 0.892 *I66 + 0.115 *I69 - 0.172 *I68- 0.327 *I70 + 4.697 *I72</f>
        <v>-2.5333353335930311</v>
      </c>
      <c r="J73" s="6" t="e">
        <f>-4.84 + 0.92 *J67  + 0.528 *J65 + 0.404 *J71 + 0.892 *J66 + 0.115 *J69 - 0.172 *J68- 0.327 *J70 + 4.697 *J72</f>
        <v>#DIV/0!</v>
      </c>
      <c r="M73" s="6"/>
    </row>
    <row r="74" spans="1:13">
      <c r="A74" s="6"/>
      <c r="G74" s="6"/>
      <c r="H74" s="6" t="str">
        <f>IF(H73&gt;-2.22,"CARE","Good")</f>
        <v>CARE</v>
      </c>
      <c r="I74" s="6" t="str">
        <f>IF(I73&gt;-2.22,"CARE","Good")</f>
        <v>Good</v>
      </c>
      <c r="J74" s="6" t="e">
        <f>IF(J73&gt;-2.22,"CARE","Good")</f>
        <v>#DIV/0!</v>
      </c>
      <c r="M74" s="6"/>
    </row>
    <row r="75" spans="1:13">
      <c r="A75" s="6"/>
      <c r="G75" s="2" t="s">
        <v>86</v>
      </c>
      <c r="H75" s="6">
        <f ca="1">H59*$B$7/$B$5</f>
        <v>2.0852091874086473E-4</v>
      </c>
      <c r="I75" s="6">
        <f ca="1">I59*$B$7/$B$5</f>
        <v>1.9389569532310874E-4</v>
      </c>
      <c r="J75" s="6">
        <f ca="1">J59*$B$7/$B$5</f>
        <v>1.8328456603129313E-4</v>
      </c>
      <c r="K75" s="6">
        <f ca="1">K59*$B$7/$B$5</f>
        <v>1.6795096375655353E-4</v>
      </c>
      <c r="M75" s="6"/>
    </row>
    <row r="76" spans="1:13">
      <c r="A76" s="6"/>
      <c r="G76" s="2" t="s">
        <v>87</v>
      </c>
      <c r="M76" s="6"/>
    </row>
    <row r="77" spans="1:13">
      <c r="A77" s="6"/>
      <c r="G77" s="2" t="s">
        <v>88</v>
      </c>
      <c r="M77" s="6"/>
    </row>
    <row r="78" spans="1:13">
      <c r="A78" s="6"/>
      <c r="G78" s="2" t="s">
        <v>89</v>
      </c>
      <c r="H78" s="74">
        <f ca="1">(H15-H16)/$B$6</f>
        <v>0.12066623853757669</v>
      </c>
      <c r="I78" s="74">
        <f ca="1">(I15-I16)/$B$6</f>
        <v>0.11231507630082342</v>
      </c>
      <c r="J78" s="74">
        <f ca="1">(J15-J16)/$B$6</f>
        <v>9.7708765998836392E-2</v>
      </c>
      <c r="K78" s="74">
        <f ca="1">(K15-K16)/$B$6</f>
        <v>8.5052626621107269E-2</v>
      </c>
      <c r="M78" s="6"/>
    </row>
    <row r="79" spans="1:13">
      <c r="A79" s="6"/>
      <c r="G79" s="2" t="s">
        <v>122</v>
      </c>
      <c r="H79" s="74">
        <f ca="1">$B$6/H20</f>
        <v>8.530341517048651</v>
      </c>
      <c r="I79" s="74">
        <f ca="1">$B$6/(I15-I16)</f>
        <v>8.9035242011643341</v>
      </c>
      <c r="J79" s="74">
        <f ca="1">$B$6/(J15-J16)</f>
        <v>10.234496258113719</v>
      </c>
      <c r="K79" s="74">
        <f ca="1">$B$6/(K15-K16)</f>
        <v>11.757426427931536</v>
      </c>
      <c r="M79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Normal="100" workbookViewId="0"/>
  </sheetViews>
  <sheetFormatPr defaultRowHeight="15"/>
  <cols>
    <col min="1" max="1" width="25"/>
    <col min="2" max="6" width="15.140625"/>
    <col min="7" max="7" width="22.5703125"/>
    <col min="8" max="12" width="15.140625"/>
    <col min="13" max="13" width="32.140625"/>
    <col min="14" max="26" width="15.140625"/>
    <col min="27" max="1025" width="14.42578125"/>
  </cols>
  <sheetData>
    <row r="1" spans="1:17">
      <c r="A1" s="2"/>
      <c r="B1" s="1">
        <v>1810</v>
      </c>
      <c r="G1" s="6"/>
      <c r="M1" s="6"/>
    </row>
    <row r="2" spans="1:17">
      <c r="A2" s="2"/>
      <c r="B2" t="str">
        <f ca="1">IFERROR(__xludf.dummyfunction("GoogleFinance(""TADAWUL:""&amp;B1,""eps"")"),"2.95")</f>
        <v>2.95</v>
      </c>
      <c r="G2" s="6"/>
      <c r="M2" s="6"/>
    </row>
    <row r="3" spans="1:17">
      <c r="A3" s="2"/>
      <c r="G3" s="6"/>
      <c r="M3" s="6"/>
    </row>
    <row r="4" spans="1:17">
      <c r="A4" s="2" t="str">
        <f ca="1">IFERROR(__xludf.dummyfunction("GOOGLEFINANCE(""TADAWUL:1301"")"),"15.56")</f>
        <v>15.56</v>
      </c>
      <c r="G4" s="6"/>
      <c r="M4" s="6"/>
    </row>
    <row r="5" spans="1:17">
      <c r="A5" s="2" t="s">
        <v>0</v>
      </c>
      <c r="B5" s="3" t="str">
        <f ca="1">IFERROR(__xludf.dummyfunction("GoogleFinance(""TADAWUL:""&amp;B1,""marketcap"")/1000"),"5,476,212.06")</f>
        <v>5,476,212.06</v>
      </c>
      <c r="C5" s="6">
        <f ca="1">H11/1000/B7</f>
        <v>38.251206255920991</v>
      </c>
      <c r="D5" s="6">
        <f ca="1">100/C5</f>
        <v>2.6142966402404832</v>
      </c>
      <c r="G5" s="6"/>
      <c r="M5" s="6"/>
    </row>
    <row r="6" spans="1:17">
      <c r="A6" s="2" t="s">
        <v>1</v>
      </c>
      <c r="B6" s="4">
        <f ca="1">B5+(B22-B20)-N23</f>
        <v>8092785.0599999987</v>
      </c>
      <c r="C6" s="28">
        <f ca="1">H20/B6</f>
        <v>0.10580350196524312</v>
      </c>
      <c r="G6" s="6"/>
      <c r="M6" s="6"/>
    </row>
    <row r="7" spans="1:17">
      <c r="A7" s="2" t="s">
        <v>2</v>
      </c>
      <c r="B7" s="5" t="str">
        <f ca="1">IFERROR(__xludf.dummyfunction("GoogleFinance(""TADAWUL:""&amp;B1,""shares"")/1000000"),"210.219279")</f>
        <v>210.219279</v>
      </c>
      <c r="G7" s="6"/>
      <c r="M7" s="6"/>
    </row>
    <row r="8" spans="1:17">
      <c r="A8" s="6"/>
      <c r="G8" s="6"/>
      <c r="M8" s="6"/>
    </row>
    <row r="9" spans="1:17">
      <c r="A9" s="6"/>
      <c r="G9" s="6"/>
      <c r="M9" s="6"/>
    </row>
    <row r="10" spans="1:17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G10" s="7" t="s">
        <v>4</v>
      </c>
      <c r="H10" s="8">
        <v>42735</v>
      </c>
      <c r="I10" s="8">
        <v>42369</v>
      </c>
      <c r="J10" s="8">
        <v>42004</v>
      </c>
      <c r="K10" s="8">
        <v>41639</v>
      </c>
      <c r="M10" s="7" t="s">
        <v>5</v>
      </c>
      <c r="N10" s="8">
        <v>42735</v>
      </c>
      <c r="O10" s="8">
        <v>42369</v>
      </c>
      <c r="P10" s="8">
        <v>42004</v>
      </c>
      <c r="Q10" s="8">
        <v>41639</v>
      </c>
    </row>
    <row r="11" spans="1:17">
      <c r="A11" s="10" t="s">
        <v>6</v>
      </c>
      <c r="B11" s="11">
        <v>3347934</v>
      </c>
      <c r="C11" s="11">
        <v>3401914</v>
      </c>
      <c r="D11" s="11">
        <v>3446571</v>
      </c>
      <c r="E11" s="11">
        <v>3215317</v>
      </c>
      <c r="G11" s="10" t="s">
        <v>7</v>
      </c>
      <c r="H11" s="11">
        <v>8041141</v>
      </c>
      <c r="I11" s="11">
        <v>8631044</v>
      </c>
      <c r="J11" s="11">
        <v>7711372</v>
      </c>
      <c r="K11" s="11">
        <v>6260265</v>
      </c>
      <c r="M11" s="10" t="s">
        <v>8</v>
      </c>
      <c r="N11" s="11">
        <v>826246</v>
      </c>
      <c r="O11" s="11">
        <v>1161556</v>
      </c>
      <c r="P11" s="11">
        <v>1118922</v>
      </c>
      <c r="Q11" s="11">
        <v>942928</v>
      </c>
    </row>
    <row r="12" spans="1:17">
      <c r="A12" s="10" t="s">
        <v>9</v>
      </c>
      <c r="B12" s="18"/>
      <c r="C12" s="18"/>
      <c r="D12" s="18"/>
      <c r="E12" s="18"/>
      <c r="G12" s="10" t="s">
        <v>10</v>
      </c>
      <c r="H12" s="11">
        <v>6551974</v>
      </c>
      <c r="I12" s="11">
        <v>6815424</v>
      </c>
      <c r="J12" s="11">
        <v>6090511</v>
      </c>
      <c r="K12" s="11">
        <v>4918845</v>
      </c>
      <c r="M12" s="10" t="s">
        <v>11</v>
      </c>
      <c r="N12" s="11">
        <v>99592</v>
      </c>
      <c r="O12" s="11">
        <v>91490</v>
      </c>
      <c r="P12" s="11">
        <v>60914</v>
      </c>
      <c r="Q12" s="11">
        <v>44842</v>
      </c>
    </row>
    <row r="13" spans="1:17">
      <c r="A13" s="10" t="s">
        <v>12</v>
      </c>
      <c r="B13" s="11">
        <v>1817571</v>
      </c>
      <c r="C13" s="11">
        <v>179099</v>
      </c>
      <c r="D13" s="11">
        <v>115041</v>
      </c>
      <c r="E13" s="11">
        <v>127796</v>
      </c>
      <c r="G13" s="10" t="s">
        <v>13</v>
      </c>
      <c r="H13" s="11">
        <v>1489167</v>
      </c>
      <c r="I13" s="11">
        <v>1815620</v>
      </c>
      <c r="J13" s="11">
        <v>1620861</v>
      </c>
      <c r="K13" s="11">
        <v>1341420</v>
      </c>
      <c r="M13" s="10" t="s">
        <v>14</v>
      </c>
      <c r="N13" s="13">
        <v>-744615</v>
      </c>
      <c r="O13" s="11">
        <v>129695</v>
      </c>
      <c r="P13" s="13">
        <v>-120916</v>
      </c>
      <c r="Q13" s="11">
        <v>384466</v>
      </c>
    </row>
    <row r="14" spans="1:17">
      <c r="A14" s="10" t="s">
        <v>15</v>
      </c>
      <c r="B14" s="11">
        <v>4007807</v>
      </c>
      <c r="C14" s="11">
        <v>1414706</v>
      </c>
      <c r="D14" s="11">
        <v>1318309</v>
      </c>
      <c r="E14" s="11">
        <v>729955</v>
      </c>
      <c r="G14" s="10" t="s">
        <v>16</v>
      </c>
      <c r="H14" s="11">
        <v>168497</v>
      </c>
      <c r="I14" s="11">
        <v>182468</v>
      </c>
      <c r="J14" s="11">
        <v>157418</v>
      </c>
      <c r="K14" s="11">
        <v>103760</v>
      </c>
      <c r="M14" s="10" t="s">
        <v>9</v>
      </c>
      <c r="N14" s="18"/>
      <c r="O14" s="18"/>
      <c r="P14" s="18"/>
      <c r="Q14" s="18"/>
    </row>
    <row r="15" spans="1:17">
      <c r="A15" s="10" t="s">
        <v>17</v>
      </c>
      <c r="B15" s="11">
        <v>202753</v>
      </c>
      <c r="C15" s="11">
        <v>3425710</v>
      </c>
      <c r="D15" s="11">
        <v>1321206</v>
      </c>
      <c r="E15" s="11">
        <v>1355504</v>
      </c>
      <c r="G15" s="10" t="s">
        <v>18</v>
      </c>
      <c r="H15" s="11">
        <v>1657664</v>
      </c>
      <c r="I15" s="11">
        <v>1998088</v>
      </c>
      <c r="J15" s="11">
        <v>1778279</v>
      </c>
      <c r="K15" s="11">
        <v>1445180</v>
      </c>
      <c r="M15" s="10" t="s">
        <v>19</v>
      </c>
      <c r="N15" s="11">
        <v>130570</v>
      </c>
      <c r="O15" s="13">
        <v>-30426</v>
      </c>
      <c r="P15" s="13">
        <v>-111724</v>
      </c>
      <c r="Q15" s="13">
        <v>-208917</v>
      </c>
    </row>
    <row r="16" spans="1:17">
      <c r="A16" s="10" t="s">
        <v>20</v>
      </c>
      <c r="B16" s="11">
        <v>9376065</v>
      </c>
      <c r="C16" s="11">
        <v>8421429</v>
      </c>
      <c r="D16" s="11">
        <v>6201127</v>
      </c>
      <c r="E16" s="11">
        <v>5428572</v>
      </c>
      <c r="G16" s="10" t="s">
        <v>21</v>
      </c>
      <c r="H16" s="11">
        <v>633585</v>
      </c>
      <c r="I16" s="11">
        <v>653412</v>
      </c>
      <c r="J16" s="11">
        <v>515662</v>
      </c>
      <c r="K16" s="11">
        <v>416869</v>
      </c>
      <c r="M16" s="10" t="s">
        <v>22</v>
      </c>
      <c r="N16" s="11">
        <v>462190</v>
      </c>
      <c r="O16" s="11">
        <v>17009</v>
      </c>
      <c r="P16" s="11">
        <v>183136</v>
      </c>
      <c r="Q16" s="11">
        <v>378667</v>
      </c>
    </row>
    <row r="17" spans="1:26">
      <c r="A17" s="10" t="s">
        <v>23</v>
      </c>
      <c r="B17" s="11">
        <v>2884755</v>
      </c>
      <c r="C17" s="11">
        <v>3235142</v>
      </c>
      <c r="D17" s="11">
        <v>3278796</v>
      </c>
      <c r="E17" s="11">
        <v>2939954</v>
      </c>
      <c r="G17" s="10" t="s">
        <v>11</v>
      </c>
      <c r="H17" s="11">
        <v>35253</v>
      </c>
      <c r="I17" s="11">
        <v>54275</v>
      </c>
      <c r="J17" s="11">
        <v>37715</v>
      </c>
      <c r="K17" s="11">
        <v>29546</v>
      </c>
      <c r="M17" s="10" t="s">
        <v>24</v>
      </c>
      <c r="N17" s="13">
        <v>-687459</v>
      </c>
      <c r="O17" s="11">
        <v>124638</v>
      </c>
      <c r="P17" s="11">
        <v>32784</v>
      </c>
      <c r="Q17" s="11">
        <v>615126</v>
      </c>
    </row>
    <row r="18" spans="1:26">
      <c r="A18" s="10" t="s">
        <v>25</v>
      </c>
      <c r="B18" s="11">
        <v>947414</v>
      </c>
      <c r="C18" s="11">
        <v>1180481</v>
      </c>
      <c r="D18" s="11">
        <v>57300</v>
      </c>
      <c r="E18" s="11">
        <v>47111</v>
      </c>
      <c r="G18" s="10" t="s">
        <v>26</v>
      </c>
      <c r="H18" s="11">
        <v>132581</v>
      </c>
      <c r="I18" s="11">
        <v>92819</v>
      </c>
      <c r="J18" s="11">
        <v>64438</v>
      </c>
      <c r="K18" s="11">
        <v>19393</v>
      </c>
      <c r="M18" s="10" t="s">
        <v>27</v>
      </c>
      <c r="N18" s="13">
        <v>-167614</v>
      </c>
      <c r="O18" s="13">
        <v>-186183</v>
      </c>
      <c r="P18" s="13">
        <v>-376263</v>
      </c>
      <c r="Q18" s="13">
        <v>-143809</v>
      </c>
    </row>
    <row r="19" spans="1:26">
      <c r="A19" s="10" t="s">
        <v>28</v>
      </c>
      <c r="B19" s="18"/>
      <c r="C19" s="18"/>
      <c r="D19" s="18"/>
      <c r="E19" s="18"/>
      <c r="G19" s="10" t="s">
        <v>29</v>
      </c>
      <c r="H19" s="11">
        <v>801419</v>
      </c>
      <c r="I19" s="11">
        <v>800506</v>
      </c>
      <c r="J19" s="11">
        <v>617815</v>
      </c>
      <c r="K19" s="11">
        <v>465808</v>
      </c>
      <c r="M19" s="10" t="s">
        <v>30</v>
      </c>
      <c r="N19" s="13">
        <v>-306330</v>
      </c>
      <c r="O19" s="13">
        <v>-2236049</v>
      </c>
      <c r="P19" s="13">
        <v>-358319</v>
      </c>
      <c r="Q19" s="13">
        <v>-225979</v>
      </c>
    </row>
    <row r="20" spans="1:26">
      <c r="A20" s="10" t="s">
        <v>31</v>
      </c>
      <c r="B20" s="11">
        <v>5509960</v>
      </c>
      <c r="C20" s="11">
        <v>3971328</v>
      </c>
      <c r="D20" s="11">
        <v>2841278</v>
      </c>
      <c r="E20" s="11">
        <v>2215111</v>
      </c>
      <c r="G20" s="10" t="s">
        <v>32</v>
      </c>
      <c r="H20" s="11">
        <v>856245</v>
      </c>
      <c r="I20" s="11">
        <v>1197582</v>
      </c>
      <c r="J20" s="11">
        <v>1160464</v>
      </c>
      <c r="K20" s="11">
        <v>979372</v>
      </c>
      <c r="M20" s="10" t="s">
        <v>33</v>
      </c>
      <c r="N20" s="13">
        <v>-371279</v>
      </c>
      <c r="O20" s="11">
        <v>983836</v>
      </c>
      <c r="P20" s="13">
        <v>-42046</v>
      </c>
      <c r="Q20" s="11">
        <v>25703</v>
      </c>
    </row>
    <row r="21" spans="1:26">
      <c r="A21" s="10" t="s">
        <v>34</v>
      </c>
      <c r="B21" s="11">
        <v>33936</v>
      </c>
      <c r="C21" s="15"/>
      <c r="D21" s="18"/>
      <c r="E21" s="15"/>
      <c r="G21" s="10" t="s">
        <v>35</v>
      </c>
      <c r="H21" s="11">
        <v>30000</v>
      </c>
      <c r="I21" s="11">
        <v>36026</v>
      </c>
      <c r="J21" s="11">
        <v>41541</v>
      </c>
      <c r="K21" s="11">
        <v>36444</v>
      </c>
      <c r="M21" s="10" t="s">
        <v>36</v>
      </c>
      <c r="N21" s="13">
        <v>-542</v>
      </c>
      <c r="O21" s="13">
        <v>-5431</v>
      </c>
      <c r="P21" s="13">
        <v>-544945</v>
      </c>
      <c r="Q21" s="13">
        <v>-442770</v>
      </c>
    </row>
    <row r="22" spans="1:26">
      <c r="A22" s="10" t="s">
        <v>37</v>
      </c>
      <c r="B22" s="11">
        <v>9376065</v>
      </c>
      <c r="C22" s="11">
        <v>8421429</v>
      </c>
      <c r="D22" s="11">
        <v>6201127</v>
      </c>
      <c r="E22" s="11">
        <v>5428572</v>
      </c>
      <c r="G22" s="10" t="s">
        <v>8</v>
      </c>
      <c r="H22" s="11">
        <v>826245</v>
      </c>
      <c r="I22" s="11">
        <v>1161556</v>
      </c>
      <c r="J22" s="11">
        <v>1118923</v>
      </c>
      <c r="K22" s="11">
        <v>942928</v>
      </c>
      <c r="M22" s="10" t="s">
        <v>38</v>
      </c>
      <c r="N22" s="11">
        <v>2008773</v>
      </c>
      <c r="O22" s="11">
        <v>1958638</v>
      </c>
      <c r="P22" s="11">
        <v>2117095</v>
      </c>
      <c r="Q22" s="11">
        <v>746838</v>
      </c>
      <c r="R22" s="83">
        <f>O23-O22</f>
        <v>50135</v>
      </c>
    </row>
    <row r="23" spans="1:26">
      <c r="A23" s="6"/>
      <c r="B23" s="4">
        <f>B11+B12</f>
        <v>3347934</v>
      </c>
      <c r="C23" s="4">
        <f>C11+C12</f>
        <v>3401914</v>
      </c>
      <c r="D23" s="4">
        <f>D11+D12</f>
        <v>3446571</v>
      </c>
      <c r="E23" s="4">
        <f>E11+E12</f>
        <v>3215317</v>
      </c>
      <c r="G23" s="10" t="s">
        <v>39</v>
      </c>
      <c r="H23" s="11">
        <v>1485693</v>
      </c>
      <c r="I23" s="11">
        <v>940293</v>
      </c>
      <c r="J23" s="11">
        <v>773262</v>
      </c>
      <c r="K23" s="11">
        <v>717593</v>
      </c>
      <c r="M23" s="10" t="s">
        <v>40</v>
      </c>
      <c r="N23" s="11">
        <v>1249532</v>
      </c>
      <c r="O23" s="11">
        <v>2008773</v>
      </c>
      <c r="P23" s="11">
        <v>1958638</v>
      </c>
      <c r="Q23" s="11">
        <v>2117095</v>
      </c>
      <c r="R23" s="83">
        <f>O25*-1-O26+R22</f>
        <v>1493962</v>
      </c>
    </row>
    <row r="24" spans="1:26">
      <c r="A24" s="6"/>
      <c r="B24" s="6">
        <f>B16/(B22-B20)</f>
        <v>2.4251966772759666</v>
      </c>
      <c r="C24" s="6">
        <f>C16/(C22-C20)</f>
        <v>1.8924130036599169</v>
      </c>
      <c r="D24" s="6">
        <f>D16/(D22-D20)</f>
        <v>1.8456564565848048</v>
      </c>
      <c r="E24" s="6">
        <f>E16/(E22-E20)</f>
        <v>1.6893225092820483</v>
      </c>
      <c r="G24" s="10" t="s">
        <v>41</v>
      </c>
      <c r="H24" s="11">
        <v>82625</v>
      </c>
      <c r="I24" s="11">
        <v>116156</v>
      </c>
      <c r="J24" s="11">
        <v>111892</v>
      </c>
      <c r="K24" s="11">
        <v>94293</v>
      </c>
      <c r="M24" s="2" t="s">
        <v>42</v>
      </c>
      <c r="N24" s="12">
        <f>SUM(N11:N17)</f>
        <v>86524</v>
      </c>
      <c r="O24" s="12">
        <f>SUM(O11:O17)</f>
        <v>1493962</v>
      </c>
      <c r="P24" s="12">
        <f>SUM(P11:P17)</f>
        <v>1163116</v>
      </c>
      <c r="Q24" s="12">
        <f>SUM(Q11:Q17)</f>
        <v>2157112</v>
      </c>
    </row>
    <row r="25" spans="1:26">
      <c r="A25" s="6"/>
      <c r="B25" s="6">
        <f ca="1">B24/B5*1000</f>
        <v>4.4286025645178662E-4</v>
      </c>
      <c r="G25" s="10" t="s">
        <v>43</v>
      </c>
      <c r="H25" s="86"/>
      <c r="I25" s="18"/>
      <c r="J25" s="11">
        <v>540000</v>
      </c>
      <c r="K25" s="11">
        <v>440000</v>
      </c>
      <c r="M25" s="2" t="s">
        <v>44</v>
      </c>
      <c r="N25" s="12">
        <f>N18+N19</f>
        <v>-473944</v>
      </c>
      <c r="O25" s="12">
        <f>O18+O19</f>
        <v>-2422232</v>
      </c>
      <c r="P25" s="12">
        <f>P18+P19</f>
        <v>-734582</v>
      </c>
      <c r="Q25" s="12">
        <f>Q18+Q19</f>
        <v>-369788</v>
      </c>
    </row>
    <row r="26" spans="1:26">
      <c r="A26" s="6"/>
      <c r="B26" s="4">
        <f>B23-B17</f>
        <v>463179</v>
      </c>
      <c r="C26" s="4">
        <f>C23-C17</f>
        <v>166772</v>
      </c>
      <c r="G26" s="10" t="s">
        <v>45</v>
      </c>
      <c r="H26" s="18"/>
      <c r="I26" s="11">
        <v>500000</v>
      </c>
      <c r="J26" s="11">
        <v>300000</v>
      </c>
      <c r="K26" s="11">
        <v>400000</v>
      </c>
      <c r="M26" s="2" t="s">
        <v>46</v>
      </c>
      <c r="N26" s="12">
        <f>N20+N21</f>
        <v>-371821</v>
      </c>
      <c r="O26" s="12">
        <f>O20+O21</f>
        <v>978405</v>
      </c>
      <c r="P26" s="12">
        <f>P20+P21</f>
        <v>-586991</v>
      </c>
      <c r="Q26" s="12">
        <f>Q20+Q21</f>
        <v>-417067</v>
      </c>
    </row>
    <row r="27" spans="1:26">
      <c r="A27" s="6"/>
      <c r="B27" s="6">
        <f>B22/90000</f>
        <v>104.1785</v>
      </c>
      <c r="F27" s="6">
        <f>H20*0.025</f>
        <v>21406.125</v>
      </c>
      <c r="G27" s="10" t="s">
        <v>47</v>
      </c>
      <c r="H27" s="11">
        <v>2229313</v>
      </c>
      <c r="I27" s="11">
        <v>1485693</v>
      </c>
      <c r="J27" s="11">
        <v>940293</v>
      </c>
      <c r="K27" s="11">
        <v>726228</v>
      </c>
      <c r="M27" s="2" t="s">
        <v>119</v>
      </c>
      <c r="N27" s="12">
        <f>N24+N18+N20</f>
        <v>-452369</v>
      </c>
      <c r="O27" s="12">
        <f>O24+O18+O20</f>
        <v>2291615</v>
      </c>
      <c r="P27" s="12">
        <f>P24+P18+P20</f>
        <v>744807</v>
      </c>
      <c r="Q27" s="12">
        <f>Q24+Q18+Q20</f>
        <v>2039006</v>
      </c>
    </row>
    <row r="28" spans="1:26">
      <c r="A28" s="6"/>
      <c r="G28" s="6"/>
      <c r="M28" s="2" t="s">
        <v>120</v>
      </c>
      <c r="N28" s="12">
        <f>(C11-B11)+(B17-C17)</f>
        <v>-296407</v>
      </c>
      <c r="O28" s="12">
        <f>(D11-C11)+(C17-D17)</f>
        <v>1003</v>
      </c>
      <c r="P28" s="12">
        <f>(E11-D11)+(D17-E17)</f>
        <v>107588</v>
      </c>
      <c r="Q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0.35707239657574902</v>
      </c>
      <c r="C30" s="24">
        <f t="shared" si="0"/>
        <v>0.40395923304702802</v>
      </c>
      <c r="D30" s="24">
        <f t="shared" si="0"/>
        <v>0.55579751874135142</v>
      </c>
      <c r="E30" s="24">
        <f t="shared" si="0"/>
        <v>0.59229517449524482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0.10275233328205537</v>
      </c>
      <c r="O30" s="26">
        <f t="shared" ref="O30:O42" si="3">O11/I$11</f>
        <v>0.1345788528015846</v>
      </c>
      <c r="P30" s="26">
        <f t="shared" ref="P30:P42" si="4">P11/J$11</f>
        <v>0.14510024934603077</v>
      </c>
      <c r="Q30" s="26">
        <f t="shared" ref="Q30:Q42" si="5">Q11/K$11</f>
        <v>0.15062109990551517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</v>
      </c>
      <c r="C31" s="24">
        <f t="shared" si="0"/>
        <v>0</v>
      </c>
      <c r="D31" s="24">
        <f t="shared" si="0"/>
        <v>0</v>
      </c>
      <c r="E31" s="24">
        <f t="shared" si="0"/>
        <v>0</v>
      </c>
      <c r="F31" s="6"/>
      <c r="G31" s="25" t="s">
        <v>10</v>
      </c>
      <c r="H31" s="24">
        <f t="shared" si="1"/>
        <v>0.8148065056936572</v>
      </c>
      <c r="I31" s="24">
        <f t="shared" si="1"/>
        <v>0.78964074334460577</v>
      </c>
      <c r="J31" s="24">
        <f t="shared" si="1"/>
        <v>0.78980899896931445</v>
      </c>
      <c r="K31" s="24">
        <f t="shared" si="1"/>
        <v>0.78572472571049312</v>
      </c>
      <c r="L31" s="6"/>
      <c r="M31" s="25" t="s">
        <v>11</v>
      </c>
      <c r="N31" s="26">
        <f t="shared" si="2"/>
        <v>1.2385307010534948E-2</v>
      </c>
      <c r="O31" s="26">
        <f t="shared" si="3"/>
        <v>1.0600108167679367E-2</v>
      </c>
      <c r="P31" s="26">
        <f t="shared" si="4"/>
        <v>7.899242832533562E-3</v>
      </c>
      <c r="Q31" s="26">
        <f t="shared" si="5"/>
        <v>7.1629555617853235E-3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0.19385221838799113</v>
      </c>
      <c r="C32" s="24">
        <f t="shared" si="0"/>
        <v>2.1267055745527272E-2</v>
      </c>
      <c r="D32" s="24">
        <f t="shared" si="0"/>
        <v>1.855162779281895E-2</v>
      </c>
      <c r="E32" s="24">
        <f t="shared" si="0"/>
        <v>2.3541365943014113E-2</v>
      </c>
      <c r="F32" s="6"/>
      <c r="G32" s="25" t="s">
        <v>13</v>
      </c>
      <c r="H32" s="24">
        <f t="shared" si="1"/>
        <v>0.18519349430634285</v>
      </c>
      <c r="I32" s="24">
        <f t="shared" si="1"/>
        <v>0.21035925665539418</v>
      </c>
      <c r="J32" s="24">
        <f t="shared" si="1"/>
        <v>0.21019100103068558</v>
      </c>
      <c r="K32" s="24">
        <f t="shared" si="1"/>
        <v>0.21427527428950691</v>
      </c>
      <c r="L32" s="6"/>
      <c r="M32" s="25" t="s">
        <v>14</v>
      </c>
      <c r="N32" s="26">
        <f t="shared" si="2"/>
        <v>-9.2600664507686156E-2</v>
      </c>
      <c r="O32" s="26">
        <f t="shared" si="3"/>
        <v>1.5026571524835235E-2</v>
      </c>
      <c r="P32" s="26">
        <f t="shared" si="4"/>
        <v>-1.5680218773001742E-2</v>
      </c>
      <c r="Q32" s="26">
        <f t="shared" si="5"/>
        <v>6.1413694148730123E-2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0.42745085491621487</v>
      </c>
      <c r="C33" s="24">
        <f t="shared" si="0"/>
        <v>0.16798882944925381</v>
      </c>
      <c r="D33" s="24">
        <f t="shared" si="0"/>
        <v>0.21259184016066757</v>
      </c>
      <c r="E33" s="24">
        <f t="shared" si="0"/>
        <v>0.13446538058259153</v>
      </c>
      <c r="F33" s="6"/>
      <c r="G33" s="25" t="s">
        <v>16</v>
      </c>
      <c r="H33" s="24">
        <f t="shared" si="1"/>
        <v>2.0954364560949745E-2</v>
      </c>
      <c r="I33" s="24">
        <f t="shared" si="1"/>
        <v>2.1140895585748377E-2</v>
      </c>
      <c r="J33" s="24">
        <f t="shared" si="1"/>
        <v>2.0413747385030837E-2</v>
      </c>
      <c r="K33" s="24">
        <f t="shared" si="1"/>
        <v>1.657437824117669E-2</v>
      </c>
      <c r="L33" s="6"/>
      <c r="M33" s="25" t="s">
        <v>9</v>
      </c>
      <c r="N33" s="26">
        <f t="shared" si="2"/>
        <v>0</v>
      </c>
      <c r="O33" s="26">
        <f t="shared" si="3"/>
        <v>0</v>
      </c>
      <c r="P33" s="26">
        <f t="shared" si="4"/>
        <v>0</v>
      </c>
      <c r="Q33" s="26">
        <f t="shared" si="5"/>
        <v>0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2.1624530120045029E-2</v>
      </c>
      <c r="C34" s="24">
        <f t="shared" si="0"/>
        <v>0.40678488175819094</v>
      </c>
      <c r="D34" s="24">
        <f t="shared" si="0"/>
        <v>0.21305901330516211</v>
      </c>
      <c r="E34" s="24">
        <f t="shared" si="0"/>
        <v>0.24969807897914958</v>
      </c>
      <c r="F34" s="6"/>
      <c r="G34" s="25" t="s">
        <v>18</v>
      </c>
      <c r="H34" s="24">
        <f t="shared" si="1"/>
        <v>0.20614785886729259</v>
      </c>
      <c r="I34" s="24">
        <f t="shared" si="1"/>
        <v>0.23150015224114256</v>
      </c>
      <c r="J34" s="24">
        <f t="shared" si="1"/>
        <v>0.23060474841571643</v>
      </c>
      <c r="K34" s="24">
        <f t="shared" si="1"/>
        <v>0.2308496525306836</v>
      </c>
      <c r="L34" s="6"/>
      <c r="M34" s="25" t="s">
        <v>19</v>
      </c>
      <c r="N34" s="26">
        <f t="shared" si="2"/>
        <v>1.6237745364743636E-2</v>
      </c>
      <c r="O34" s="26">
        <f t="shared" si="3"/>
        <v>-3.5251818899312759E-3</v>
      </c>
      <c r="P34" s="26">
        <f t="shared" si="4"/>
        <v>-1.4488212992448037E-2</v>
      </c>
      <c r="Q34" s="26">
        <f t="shared" si="5"/>
        <v>-3.3371909975056964E-2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7.8792922546688335E-2</v>
      </c>
      <c r="I35" s="24">
        <f t="shared" si="1"/>
        <v>7.5704862586727636E-2</v>
      </c>
      <c r="J35" s="24">
        <f t="shared" si="1"/>
        <v>6.6870331245853523E-2</v>
      </c>
      <c r="K35" s="24">
        <f t="shared" si="1"/>
        <v>6.6589673120866291E-2</v>
      </c>
      <c r="L35" s="6"/>
      <c r="M35" s="25" t="s">
        <v>22</v>
      </c>
      <c r="N35" s="26">
        <f t="shared" si="2"/>
        <v>5.7478161370382634E-2</v>
      </c>
      <c r="O35" s="26">
        <f t="shared" si="3"/>
        <v>1.9706770119582288E-3</v>
      </c>
      <c r="P35" s="26">
        <f t="shared" si="4"/>
        <v>2.3748821869830686E-2</v>
      </c>
      <c r="Q35" s="26">
        <f t="shared" si="5"/>
        <v>6.0487375534422266E-2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0.30767224843257807</v>
      </c>
      <c r="C36" s="24">
        <f t="shared" si="0"/>
        <v>0.3841559431303167</v>
      </c>
      <c r="D36" s="24">
        <f t="shared" si="0"/>
        <v>0.52874195287405013</v>
      </c>
      <c r="E36" s="24">
        <f t="shared" si="0"/>
        <v>0.54157041667679828</v>
      </c>
      <c r="F36" s="6"/>
      <c r="G36" s="25" t="s">
        <v>11</v>
      </c>
      <c r="H36" s="24">
        <f t="shared" si="1"/>
        <v>4.3840793240660751E-3</v>
      </c>
      <c r="I36" s="24">
        <f t="shared" si="1"/>
        <v>6.2883470412154084E-3</v>
      </c>
      <c r="J36" s="24">
        <f t="shared" si="1"/>
        <v>4.8908287656204367E-3</v>
      </c>
      <c r="K36" s="24">
        <f t="shared" si="1"/>
        <v>4.7196085149750055E-3</v>
      </c>
      <c r="L36" s="6"/>
      <c r="M36" s="25" t="s">
        <v>24</v>
      </c>
      <c r="N36" s="26">
        <f t="shared" si="2"/>
        <v>-8.5492718011038485E-2</v>
      </c>
      <c r="O36" s="26">
        <f t="shared" si="3"/>
        <v>1.4440663261593847E-2</v>
      </c>
      <c r="P36" s="26">
        <f t="shared" si="4"/>
        <v>4.251383541087111E-3</v>
      </c>
      <c r="Q36" s="26">
        <f t="shared" si="5"/>
        <v>9.8258779780089178E-2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0.10104601450608544</v>
      </c>
      <c r="C37" s="24">
        <f t="shared" si="0"/>
        <v>0.14017585376543576</v>
      </c>
      <c r="D37" s="24">
        <f t="shared" si="0"/>
        <v>9.2402558438167779E-3</v>
      </c>
      <c r="E37" s="24">
        <f t="shared" si="0"/>
        <v>8.6783411917535584E-3</v>
      </c>
      <c r="F37" s="6"/>
      <c r="G37" s="25" t="s">
        <v>26</v>
      </c>
      <c r="H37" s="24">
        <f t="shared" si="1"/>
        <v>1.648783425138298E-2</v>
      </c>
      <c r="I37" s="24">
        <f t="shared" si="1"/>
        <v>1.0754087222820322E-2</v>
      </c>
      <c r="J37" s="24">
        <f t="shared" si="1"/>
        <v>8.3562302531897045E-3</v>
      </c>
      <c r="K37" s="24">
        <f t="shared" si="1"/>
        <v>3.0977921861135272E-3</v>
      </c>
      <c r="L37" s="6"/>
      <c r="M37" s="25" t="s">
        <v>27</v>
      </c>
      <c r="N37" s="26">
        <f t="shared" si="2"/>
        <v>-2.0844554274076277E-2</v>
      </c>
      <c r="O37" s="26">
        <f t="shared" si="3"/>
        <v>-2.1571318602940735E-2</v>
      </c>
      <c r="P37" s="26">
        <f t="shared" si="4"/>
        <v>-4.879326272938201E-2</v>
      </c>
      <c r="Q37" s="26">
        <f t="shared" si="5"/>
        <v>-2.2971711261424235E-2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9.966483612213739E-2</v>
      </c>
      <c r="I38" s="24">
        <f t="shared" si="1"/>
        <v>9.2747296850763356E-2</v>
      </c>
      <c r="J38" s="24">
        <f t="shared" si="1"/>
        <v>8.0117390264663663E-2</v>
      </c>
      <c r="K38" s="24">
        <f t="shared" si="1"/>
        <v>7.4407073821954828E-2</v>
      </c>
      <c r="L38" s="6"/>
      <c r="M38" s="25" t="s">
        <v>30</v>
      </c>
      <c r="N38" s="26">
        <f t="shared" si="2"/>
        <v>-3.8095339952377405E-2</v>
      </c>
      <c r="O38" s="26">
        <f t="shared" si="3"/>
        <v>-0.25907051337010911</v>
      </c>
      <c r="P38" s="26">
        <f t="shared" si="4"/>
        <v>-4.6466309756551749E-2</v>
      </c>
      <c r="Q38" s="26">
        <f t="shared" si="5"/>
        <v>-3.6097353706272817E-2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0.58766230822845189</v>
      </c>
      <c r="C39" s="24">
        <f t="shared" si="0"/>
        <v>0.47157412358401407</v>
      </c>
      <c r="D39" s="24">
        <f t="shared" si="0"/>
        <v>0.45818735852370063</v>
      </c>
      <c r="E39" s="24">
        <f t="shared" si="0"/>
        <v>0.40804672020560839</v>
      </c>
      <c r="F39" s="6"/>
      <c r="G39" s="25" t="s">
        <v>32</v>
      </c>
      <c r="H39" s="24">
        <f t="shared" si="1"/>
        <v>0.1064830227451552</v>
      </c>
      <c r="I39" s="24">
        <f t="shared" si="1"/>
        <v>0.13875285539037918</v>
      </c>
      <c r="J39" s="24">
        <f t="shared" si="1"/>
        <v>0.15048735815105277</v>
      </c>
      <c r="K39" s="24">
        <f t="shared" si="1"/>
        <v>0.1564425787087288</v>
      </c>
      <c r="L39" s="6"/>
      <c r="M39" s="25" t="s">
        <v>33</v>
      </c>
      <c r="N39" s="26">
        <f t="shared" si="2"/>
        <v>-4.6172427519925341E-2</v>
      </c>
      <c r="O39" s="26">
        <f t="shared" si="3"/>
        <v>0.11398806447980105</v>
      </c>
      <c r="P39" s="26">
        <f t="shared" si="4"/>
        <v>-5.4524668243212749E-3</v>
      </c>
      <c r="Q39" s="26">
        <f t="shared" si="5"/>
        <v>4.1057367379815392E-3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3.6194288328845843E-3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3.7308138235606116E-3</v>
      </c>
      <c r="I40" s="24">
        <f t="shared" si="1"/>
        <v>4.1740025887945882E-3</v>
      </c>
      <c r="J40" s="24">
        <f t="shared" si="1"/>
        <v>5.3869791264122653E-3</v>
      </c>
      <c r="K40" s="24">
        <f t="shared" si="1"/>
        <v>5.8214788032136021E-3</v>
      </c>
      <c r="L40" s="6"/>
      <c r="M40" s="25" t="s">
        <v>36</v>
      </c>
      <c r="N40" s="26">
        <f t="shared" si="2"/>
        <v>-6.7403369745661719E-5</v>
      </c>
      <c r="O40" s="26">
        <f t="shared" si="3"/>
        <v>-6.2924021705833039E-4</v>
      </c>
      <c r="P40" s="26">
        <f t="shared" si="4"/>
        <v>-7.0667709974308074E-2</v>
      </c>
      <c r="Q40" s="26">
        <f t="shared" si="5"/>
        <v>-7.0727037912931806E-2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0.10275220892159459</v>
      </c>
      <c r="I41" s="24">
        <f t="shared" si="1"/>
        <v>0.1345788528015846</v>
      </c>
      <c r="J41" s="24">
        <f t="shared" si="1"/>
        <v>0.14510037902464049</v>
      </c>
      <c r="K41" s="24">
        <f t="shared" si="1"/>
        <v>0.15062109990551517</v>
      </c>
      <c r="L41" s="6"/>
      <c r="M41" s="25" t="s">
        <v>38</v>
      </c>
      <c r="N41" s="26">
        <f t="shared" si="2"/>
        <v>0.24981193589317735</v>
      </c>
      <c r="O41" s="26">
        <f t="shared" si="3"/>
        <v>0.2269294421393287</v>
      </c>
      <c r="P41" s="26">
        <f t="shared" si="4"/>
        <v>0.27454193624688317</v>
      </c>
      <c r="Q41" s="26">
        <f t="shared" si="5"/>
        <v>0.11929814472710021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0.18476146606557453</v>
      </c>
      <c r="I42" s="24">
        <f t="shared" si="1"/>
        <v>0.10894313596362155</v>
      </c>
      <c r="J42" s="24">
        <f t="shared" si="1"/>
        <v>0.10027554110993478</v>
      </c>
      <c r="K42" s="24">
        <f t="shared" si="1"/>
        <v>0.11462661724383871</v>
      </c>
      <c r="L42" s="6"/>
      <c r="M42" s="25" t="s">
        <v>40</v>
      </c>
      <c r="N42" s="26">
        <f t="shared" si="2"/>
        <v>0.1553923752860446</v>
      </c>
      <c r="O42" s="26">
        <f t="shared" si="3"/>
        <v>0.23273812530674157</v>
      </c>
      <c r="P42" s="26">
        <f t="shared" si="4"/>
        <v>0.25399345278635244</v>
      </c>
      <c r="Q42" s="26">
        <f t="shared" si="5"/>
        <v>0.338179773539938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1.0275283072389851E-2</v>
      </c>
      <c r="I43" s="24">
        <f t="shared" si="1"/>
        <v>1.3457931624494093E-2</v>
      </c>
      <c r="J43" s="24">
        <f t="shared" si="1"/>
        <v>1.4509998998881134E-2</v>
      </c>
      <c r="K43" s="24">
        <f t="shared" si="1"/>
        <v>1.5062141938080895E-2</v>
      </c>
      <c r="L43" s="6"/>
      <c r="M43" s="2" t="s">
        <v>49</v>
      </c>
      <c r="N43" s="26">
        <f>N24/H11</f>
        <v>1.0760164508991945E-2</v>
      </c>
      <c r="O43" s="26">
        <f>O24/I11</f>
        <v>0.17309169087772</v>
      </c>
      <c r="P43" s="26">
        <f>P24/J11</f>
        <v>0.15083126582403236</v>
      </c>
      <c r="Q43" s="26">
        <f>Q24/K11</f>
        <v>0.34457199495548513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</v>
      </c>
      <c r="I44" s="24">
        <f t="shared" si="1"/>
        <v>0</v>
      </c>
      <c r="J44" s="24">
        <f t="shared" si="1"/>
        <v>7.0026449249238662E-2</v>
      </c>
      <c r="K44" s="24">
        <f t="shared" si="1"/>
        <v>7.028456463104997E-2</v>
      </c>
      <c r="L44" s="6"/>
      <c r="M44" s="2" t="s">
        <v>50</v>
      </c>
      <c r="N44" s="26">
        <f>N24/B16</f>
        <v>9.2281783456066059E-3</v>
      </c>
      <c r="O44" s="26">
        <f>O24/C16</f>
        <v>0.17740005882612084</v>
      </c>
      <c r="P44" s="26">
        <f>P24/D16</f>
        <v>0.18756526031477827</v>
      </c>
      <c r="Q44" s="26">
        <f>Q24/E16</f>
        <v>0.39736269501445315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5.7930419541367184E-2</v>
      </c>
      <c r="J45" s="24">
        <f t="shared" si="1"/>
        <v>3.8903582916243698E-2</v>
      </c>
      <c r="K45" s="24">
        <f t="shared" si="1"/>
        <v>6.3895058755499973E-2</v>
      </c>
      <c r="L45" s="6"/>
      <c r="M45" s="2" t="s">
        <v>51</v>
      </c>
      <c r="N45" s="26">
        <f>N24/B20</f>
        <v>1.5703199297272576E-2</v>
      </c>
      <c r="O45" s="26">
        <f>O24/C20</f>
        <v>0.37618700847676145</v>
      </c>
      <c r="P45" s="26">
        <f>P24/D20</f>
        <v>0.40936367367079179</v>
      </c>
      <c r="Q45" s="26">
        <f>Q24/E20</f>
        <v>0.97381666200926276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0.27723839191477928</v>
      </c>
      <c r="I46" s="24">
        <f t="shared" si="1"/>
        <v>0.17213363759934489</v>
      </c>
      <c r="J46" s="24">
        <f t="shared" si="1"/>
        <v>0.12193588897021179</v>
      </c>
      <c r="K46" s="24">
        <f t="shared" si="1"/>
        <v>0.11600595182472308</v>
      </c>
      <c r="L46" s="6"/>
      <c r="M46" s="2" t="s">
        <v>52</v>
      </c>
      <c r="N46" s="26">
        <f>N24/H22</f>
        <v>0.10471954444504959</v>
      </c>
      <c r="O46" s="26">
        <f>O24/I22</f>
        <v>1.2861730299701435</v>
      </c>
      <c r="P46" s="26">
        <f>P24/J22</f>
        <v>1.039496015364775</v>
      </c>
      <c r="Q46" s="26">
        <f>Q24/K22</f>
        <v>2.2876741384283847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2.2380147461075164E-2</v>
      </c>
      <c r="O47" s="26">
        <f>O24/(C22-C20)</f>
        <v>0.33571417817258531</v>
      </c>
      <c r="P47" s="26">
        <f>P24/(D22-D20)</f>
        <v>0.34618103373098019</v>
      </c>
      <c r="Q47" s="26">
        <f>Q24/(E22-E20)</f>
        <v>0.6712737450368933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>N24/H25</f>
        <v>#DIV/0!</v>
      </c>
      <c r="O48" s="26" t="e">
        <f>O24/I25</f>
        <v>#DIV/0!</v>
      </c>
      <c r="P48" s="26">
        <f>P24/J25</f>
        <v>2.1539185185185183</v>
      </c>
      <c r="Q48" s="26">
        <f>Q24/K25</f>
        <v>4.9025272727272728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0.51620986313792405</v>
      </c>
      <c r="O49" s="26">
        <f>O24/(O18*-1)</f>
        <v>8.0241590263343063</v>
      </c>
      <c r="P49" s="26">
        <f>P24/(P18*-1)</f>
        <v>3.0912313993137777</v>
      </c>
      <c r="Q49" s="26">
        <f>Q24/(Q18*-1)</f>
        <v>14.999840065642623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G50" s="2" t="s">
        <v>56</v>
      </c>
      <c r="H50" s="28">
        <f>LN(H22/I22)</f>
        <v>-0.34062442485486383</v>
      </c>
      <c r="I50" s="28">
        <f>LN(I15/J15)</f>
        <v>0.1165446806338418</v>
      </c>
      <c r="J50" s="28">
        <f>LN(J22/K22)</f>
        <v>0.17113196685490342</v>
      </c>
      <c r="M50" s="2" t="s">
        <v>121</v>
      </c>
      <c r="N50" s="32">
        <f ca="1">(H15-H16-N28-N25)/($B$6)</f>
        <v>0.2217320720488776</v>
      </c>
      <c r="O50" s="32">
        <f ca="1">(I15-I16-O28-O25)/($B$6)</f>
        <v>0.46534103798377668</v>
      </c>
      <c r="P50" s="32">
        <f ca="1">(J15-J16-P28-P25)/($B$6)</f>
        <v>0.23349328889750598</v>
      </c>
    </row>
    <row r="51" spans="1:26">
      <c r="A51" s="29" t="s">
        <v>57</v>
      </c>
      <c r="B51" s="30">
        <f>B23/B17</f>
        <v>1.1605609488500757</v>
      </c>
      <c r="C51" s="30">
        <f>C23/C17</f>
        <v>1.0515501328844299</v>
      </c>
      <c r="D51" s="30">
        <f>D23/D17</f>
        <v>1.0511696976573108</v>
      </c>
      <c r="E51" s="30">
        <f>E23/E17</f>
        <v>1.0936623498190787</v>
      </c>
      <c r="G51" s="29" t="s">
        <v>58</v>
      </c>
      <c r="H51" s="63">
        <f>H13/H11</f>
        <v>0.18519349430634285</v>
      </c>
      <c r="I51" s="63">
        <f>I13/I11</f>
        <v>0.21035925665539418</v>
      </c>
      <c r="J51" s="63">
        <f>J13/J11</f>
        <v>0.21019100103068558</v>
      </c>
      <c r="K51" s="63">
        <f>K13/K11</f>
        <v>0.21427527428950691</v>
      </c>
      <c r="M51" s="2" t="s">
        <v>59</v>
      </c>
      <c r="N51" s="32">
        <f>(N11-N24-N25)/B16</f>
        <v>0.1294430019416461</v>
      </c>
      <c r="O51" s="32">
        <f>(O11-O24-O25)/C16</f>
        <v>0.24815574648910535</v>
      </c>
      <c r="P51" s="32">
        <f>(P11-P24-P25)/D16</f>
        <v>0.11133266582026138</v>
      </c>
      <c r="Q51" s="32">
        <f>(Q11-Q24-Q25)/E16</f>
        <v>-0.15554661520561947</v>
      </c>
    </row>
    <row r="52" spans="1:26">
      <c r="A52" s="29" t="s">
        <v>60</v>
      </c>
      <c r="B52" s="31">
        <f>H20/B16</f>
        <v>9.1322425772432256E-2</v>
      </c>
      <c r="C52" s="31">
        <f>I20/C16</f>
        <v>0.14220650675793858</v>
      </c>
      <c r="D52" s="31">
        <f>J20/D16</f>
        <v>0.18713759611760894</v>
      </c>
      <c r="E52" s="31">
        <f>K20/E16</f>
        <v>0.18041061258835656</v>
      </c>
      <c r="F52" s="31"/>
      <c r="G52" s="29" t="s">
        <v>61</v>
      </c>
      <c r="H52" s="63">
        <f>H16/H11</f>
        <v>7.8792922546688335E-2</v>
      </c>
      <c r="I52" s="63">
        <f>I16/I11</f>
        <v>7.5704862586727636E-2</v>
      </c>
      <c r="J52" s="63">
        <f>J16/J11</f>
        <v>6.6870331245853523E-2</v>
      </c>
      <c r="K52" s="63">
        <f>K16/K11</f>
        <v>6.6589673120866291E-2</v>
      </c>
      <c r="M52" s="6"/>
      <c r="N52" s="4">
        <f>N24+N18</f>
        <v>-81090</v>
      </c>
      <c r="O52" s="4">
        <f>O24+O18</f>
        <v>1307779</v>
      </c>
      <c r="P52" s="4">
        <f>P24+P18</f>
        <v>786853</v>
      </c>
      <c r="Q52" s="4">
        <f>Q24+Q18</f>
        <v>2013303</v>
      </c>
      <c r="R52" s="4">
        <f>AVERAGE(N52:Q52)</f>
        <v>1006711.25</v>
      </c>
    </row>
    <row r="53" spans="1:26">
      <c r="A53" s="29" t="s">
        <v>62</v>
      </c>
      <c r="B53" s="31">
        <f>H20/B20</f>
        <v>0.1553994947331741</v>
      </c>
      <c r="C53" s="31">
        <f>I20/C20</f>
        <v>0.30155706101334367</v>
      </c>
      <c r="D53" s="31">
        <f>J20/D20</f>
        <v>0.40843029087614796</v>
      </c>
      <c r="E53" s="31">
        <f>K20/E20</f>
        <v>0.44213224529154521</v>
      </c>
      <c r="G53" s="29" t="s">
        <v>11</v>
      </c>
      <c r="H53" s="71">
        <f>H17/H11</f>
        <v>4.3840793240660751E-3</v>
      </c>
      <c r="I53" s="71">
        <f>I17/I11</f>
        <v>6.2883470412154084E-3</v>
      </c>
      <c r="J53" s="71">
        <f>J17/J11</f>
        <v>4.8908287656204367E-3</v>
      </c>
      <c r="K53" s="71">
        <f>K17/K11</f>
        <v>4.7196085149750055E-3</v>
      </c>
      <c r="M53" s="6"/>
      <c r="N53" s="28" t="e">
        <f>LN(N52/O52)</f>
        <v>#NUM!</v>
      </c>
      <c r="O53" s="28">
        <f>LN(O52/P52)</f>
        <v>0.50804411178672448</v>
      </c>
      <c r="P53" s="28">
        <f>LN(P52/Q52)</f>
        <v>-0.93949049021170761</v>
      </c>
    </row>
    <row r="54" spans="1:26">
      <c r="A54" s="29" t="s">
        <v>63</v>
      </c>
      <c r="B54" s="30" t="e">
        <f>H11/B12</f>
        <v>#DIV/0!</v>
      </c>
      <c r="C54" s="30" t="e">
        <f>I11/C12</f>
        <v>#DIV/0!</v>
      </c>
      <c r="D54" s="30" t="e">
        <f>J11/D12</f>
        <v>#DIV/0!</v>
      </c>
      <c r="E54" s="30" t="e">
        <f>K11/E12</f>
        <v>#DIV/0!</v>
      </c>
      <c r="G54" s="29" t="s">
        <v>64</v>
      </c>
      <c r="H54" s="63">
        <f>H25/H22</f>
        <v>0</v>
      </c>
      <c r="I54" s="63">
        <f>I25/I22</f>
        <v>0</v>
      </c>
      <c r="J54" s="63">
        <f>J25/J22</f>
        <v>0.48260693541914862</v>
      </c>
      <c r="K54" s="63">
        <f>K25/K22</f>
        <v>0.46663159859501468</v>
      </c>
      <c r="M54" s="6"/>
    </row>
    <row r="55" spans="1:26">
      <c r="A55" s="29" t="s">
        <v>65</v>
      </c>
      <c r="B55" s="31">
        <f>(B22-B20)/B16</f>
        <v>0.41233769177154811</v>
      </c>
      <c r="C55" s="31">
        <f>(C22-C20)/C16</f>
        <v>0.52842587641598593</v>
      </c>
      <c r="D55" s="31">
        <f>(D22-D20)/D16</f>
        <v>0.54181264147629937</v>
      </c>
      <c r="E55" s="31">
        <f>(E22-E20)/E16</f>
        <v>0.59195327979439161</v>
      </c>
      <c r="G55" s="29" t="s">
        <v>66</v>
      </c>
      <c r="H55" s="63">
        <f>H22/H11</f>
        <v>0.10275220892159459</v>
      </c>
      <c r="I55" s="63">
        <f>I22/I11</f>
        <v>0.1345788528015846</v>
      </c>
      <c r="J55" s="63">
        <f>J22/J11</f>
        <v>0.14510037902464049</v>
      </c>
      <c r="K55" s="63">
        <f>K22/K11</f>
        <v>0.15062109990551517</v>
      </c>
      <c r="L55" s="31"/>
      <c r="M55" s="6"/>
    </row>
    <row r="56" spans="1:26">
      <c r="A56" s="29" t="s">
        <v>67</v>
      </c>
      <c r="B56" s="31">
        <f>(B22-B20)/B20</f>
        <v>0.70165754379342138</v>
      </c>
      <c r="C56" s="31">
        <f>(C22-C20)/C20</f>
        <v>1.1205574054824985</v>
      </c>
      <c r="D56" s="31">
        <f>(D22-D20)/D20</f>
        <v>1.182513291554012</v>
      </c>
      <c r="E56" s="31">
        <f>(E22-E20)/E20</f>
        <v>1.4506997617726607</v>
      </c>
      <c r="G56" s="33" t="s">
        <v>68</v>
      </c>
      <c r="H56" s="34">
        <f>H13/B16</f>
        <v>0.15882643731672083</v>
      </c>
      <c r="I56" s="34">
        <f>I13/C16</f>
        <v>0.21559523924027621</v>
      </c>
      <c r="J56" s="34">
        <f>J13/D16</f>
        <v>0.2613816811040961</v>
      </c>
      <c r="K56" s="34">
        <f>K13/E16</f>
        <v>0.24710365819961494</v>
      </c>
      <c r="M56" s="6"/>
    </row>
    <row r="57" spans="1:26">
      <c r="A57" s="29" t="s">
        <v>69</v>
      </c>
      <c r="B57" s="30">
        <f>H11/B16</f>
        <v>0.85762428054839634</v>
      </c>
      <c r="C57" s="30">
        <f>I11/C16</f>
        <v>1.0248906687926715</v>
      </c>
      <c r="D57" s="30">
        <f>J11/D16</f>
        <v>1.2435436332782734</v>
      </c>
      <c r="E57" s="30">
        <f>K11/E16</f>
        <v>1.1532065891361485</v>
      </c>
      <c r="G57" s="33" t="s">
        <v>70</v>
      </c>
      <c r="H57" s="35">
        <f ca="1">H25/$B$5</f>
        <v>0</v>
      </c>
      <c r="I57" s="35">
        <f ca="1">I25/$B$5</f>
        <v>0</v>
      </c>
      <c r="J57" s="35">
        <f ca="1">J25/$B$5</f>
        <v>9.8608306998250184E-2</v>
      </c>
      <c r="K57" s="35">
        <f ca="1">K25/$B$5</f>
        <v>8.0347509405981635E-2</v>
      </c>
      <c r="M57" s="6"/>
    </row>
    <row r="58" spans="1:26">
      <c r="A58" s="29" t="s">
        <v>71</v>
      </c>
      <c r="B58" s="30">
        <f>B16/B20</f>
        <v>1.7016575437934214</v>
      </c>
      <c r="C58" s="30">
        <f>C16/C20</f>
        <v>2.1205574054824985</v>
      </c>
      <c r="D58" s="30">
        <f>D16/D20</f>
        <v>2.1825132915540117</v>
      </c>
      <c r="E58" s="30">
        <f>E16/E20</f>
        <v>2.4506997617726607</v>
      </c>
      <c r="G58" s="36" t="s">
        <v>72</v>
      </c>
      <c r="H58" s="37">
        <f ca="1">H22/$B$7/1000</f>
        <v>3.9303959367113994</v>
      </c>
      <c r="I58" s="37">
        <f ca="1">I22/$B$7/1000</f>
        <v>5.5254494522360149</v>
      </c>
      <c r="J58" s="37">
        <f ca="1">J22/$B$7/1000</f>
        <v>5.3226469300182497</v>
      </c>
      <c r="K58" s="37">
        <f ca="1">K22/$B$7/1000</f>
        <v>4.4854496908440069</v>
      </c>
      <c r="M58" s="6"/>
    </row>
    <row r="59" spans="1:26">
      <c r="A59" s="6"/>
      <c r="G59" s="36" t="s">
        <v>73</v>
      </c>
      <c r="H59" s="37">
        <f ca="1">B20/$B$7/1000</f>
        <v>26.210536094551063</v>
      </c>
      <c r="I59" s="37">
        <f ca="1">C20/$B$7/1000</f>
        <v>18.891359626440348</v>
      </c>
      <c r="J59" s="37">
        <f ca="1">D20/$B$7/1000</f>
        <v>13.515782251350982</v>
      </c>
      <c r="K59" s="37">
        <f ca="1">E20/$B$7/1000</f>
        <v>10.537144882891546</v>
      </c>
      <c r="L59" s="65"/>
      <c r="M59" s="6"/>
    </row>
    <row r="60" spans="1:26">
      <c r="A60" s="6"/>
      <c r="G60" s="33" t="s">
        <v>74</v>
      </c>
      <c r="H60" s="38">
        <f ca="1">SQRT(22.5*H58*H59)</f>
        <v>48.144575527401287</v>
      </c>
      <c r="I60" s="38">
        <f ca="1">SQRT(22.5*I58*I59)</f>
        <v>48.462595738857601</v>
      </c>
      <c r="J60" s="38">
        <f ca="1">SQRT(22.5*J58*J59)</f>
        <v>40.232376022382027</v>
      </c>
      <c r="K60" s="38">
        <f ca="1">SQRT(22.5*K58*K59)</f>
        <v>32.610370256871491</v>
      </c>
      <c r="M60" s="6"/>
    </row>
    <row r="61" spans="1:26">
      <c r="A61" s="6"/>
      <c r="G61" s="33" t="s">
        <v>75</v>
      </c>
      <c r="H61" s="39">
        <f ca="1">H58-(B20*0.08/1000/$B$7)</f>
        <v>1.8335530491473149</v>
      </c>
      <c r="I61" s="39">
        <f ca="1">I58-(C20*0.08/1000/$B$7)</f>
        <v>4.0141406821207868</v>
      </c>
      <c r="J61" s="39">
        <f ca="1">J58-(D20*0.08/1000/$B$7)</f>
        <v>4.2413843499101711</v>
      </c>
      <c r="K61" s="39">
        <f ca="1">K58-(E20*0.08/1000/$B$7)</f>
        <v>3.6424781002126831</v>
      </c>
      <c r="M61" s="6"/>
    </row>
    <row r="62" spans="1:26">
      <c r="A62" s="6"/>
      <c r="G62" s="40" t="s">
        <v>76</v>
      </c>
      <c r="H62" s="41">
        <f ca="1">H25/$B$7/1000</f>
        <v>0</v>
      </c>
      <c r="I62" s="41">
        <f ca="1">I25/$B$7/1000</f>
        <v>0</v>
      </c>
      <c r="J62" s="41">
        <f ca="1">J25/$B$7/1000</f>
        <v>2.5687463232142473</v>
      </c>
      <c r="K62" s="41">
        <f ca="1">K25/$B$7/1000</f>
        <v>2.0930525596560532</v>
      </c>
      <c r="M62" s="6"/>
    </row>
    <row r="63" spans="1:26">
      <c r="A63" s="2"/>
      <c r="G63" s="6"/>
      <c r="M63" s="6"/>
    </row>
    <row r="64" spans="1:26">
      <c r="A64" s="6"/>
      <c r="G64" s="2" t="s">
        <v>85</v>
      </c>
      <c r="H64" s="47">
        <f ca="1">SUM(H62:J62)</f>
        <v>2.5687463232142473</v>
      </c>
      <c r="M64" s="6"/>
    </row>
    <row r="65" spans="1:13">
      <c r="A65" s="6"/>
      <c r="G65" s="2" t="s">
        <v>105</v>
      </c>
      <c r="H65" s="6">
        <f>I51/H51</f>
        <v>1.1358890194459137</v>
      </c>
      <c r="I65" s="6">
        <f>J51/I51</f>
        <v>0.99920015107780957</v>
      </c>
      <c r="J65" s="6">
        <f>K51/J51</f>
        <v>1.0194312470029345</v>
      </c>
      <c r="M65" s="6"/>
    </row>
    <row r="66" spans="1:13">
      <c r="A66" s="6"/>
      <c r="G66" s="2" t="s">
        <v>106</v>
      </c>
      <c r="H66" s="6">
        <f>H11/I11</f>
        <v>0.93165334344257777</v>
      </c>
      <c r="I66" s="6">
        <f>I11/J11</f>
        <v>1.119261786359159</v>
      </c>
      <c r="J66" s="6">
        <f>J11/K11</f>
        <v>1.2317964175637932</v>
      </c>
      <c r="M66" s="6"/>
    </row>
    <row r="67" spans="1:13">
      <c r="A67" s="6"/>
      <c r="G67" s="2" t="s">
        <v>107</v>
      </c>
      <c r="H67" s="6">
        <f>(N13/152738)/(O13/140619)</f>
        <v>-5.2857358132415833</v>
      </c>
      <c r="I67" s="6">
        <f>(O13/I11)/(P13/J11)</f>
        <v>-0.95831389487422469</v>
      </c>
      <c r="J67" s="6">
        <f>(P13/J11)/(Q13/K11)</f>
        <v>-0.25532121117853268</v>
      </c>
      <c r="M67" s="6"/>
    </row>
    <row r="68" spans="1:13">
      <c r="A68" s="6"/>
      <c r="G68" s="2" t="s">
        <v>108</v>
      </c>
      <c r="H68" s="6">
        <f t="shared" ref="H68:J69" si="6">H52/I52</f>
        <v>1.0407907742573737</v>
      </c>
      <c r="I68" s="6">
        <f t="shared" si="6"/>
        <v>1.1321143648652394</v>
      </c>
      <c r="J68" s="6">
        <f t="shared" si="6"/>
        <v>1.0042147394908789</v>
      </c>
      <c r="M68" s="6"/>
    </row>
    <row r="69" spans="1:13">
      <c r="A69" s="6"/>
      <c r="G69" s="2" t="s">
        <v>109</v>
      </c>
      <c r="H69" s="6">
        <f t="shared" si="6"/>
        <v>0.69717515514517825</v>
      </c>
      <c r="I69" s="6">
        <f t="shared" si="6"/>
        <v>1.2857426302508643</v>
      </c>
      <c r="J69" s="6">
        <f t="shared" si="6"/>
        <v>1.0362784858324925</v>
      </c>
      <c r="M69" s="6"/>
    </row>
    <row r="70" spans="1:13">
      <c r="A70" s="6"/>
      <c r="G70" s="2" t="s">
        <v>110</v>
      </c>
      <c r="H70" s="6">
        <f>B58/C58</f>
        <v>0.80245766485450876</v>
      </c>
      <c r="I70" s="6">
        <f>C58/D58</f>
        <v>0.97161259621589802</v>
      </c>
      <c r="J70" s="6">
        <f>D58/E58</f>
        <v>0.89056739042376121</v>
      </c>
      <c r="M70" s="6"/>
    </row>
    <row r="71" spans="1:13">
      <c r="A71" s="6"/>
      <c r="G71" s="2" t="s">
        <v>111</v>
      </c>
      <c r="H71" s="6">
        <f>((1-B11)/B16)/((1-C11)/C16)</f>
        <v>0.88393175764306342</v>
      </c>
      <c r="I71" s="6">
        <f>((1-C11)/C16)/((1-D11)/D16)</f>
        <v>0.72681006641278045</v>
      </c>
      <c r="J71" s="6">
        <f>((1-D11)/D16)/((1-E11)/E16)</f>
        <v>0.93837929848629942</v>
      </c>
      <c r="M71" s="6"/>
    </row>
    <row r="72" spans="1:13">
      <c r="A72" s="6"/>
      <c r="G72" s="2" t="s">
        <v>112</v>
      </c>
      <c r="H72" s="6">
        <f>((H13-H16-H17)-N24)/B16</f>
        <v>7.8263642583535839E-2</v>
      </c>
      <c r="I72" s="6">
        <f>((I13-I16-I17)-O24)/C16</f>
        <v>-4.5838895037884901E-2</v>
      </c>
      <c r="J72" s="6">
        <f>((J13-J16-J17)-P24)/D16</f>
        <v>-1.5421712859614066E-2</v>
      </c>
      <c r="K72" s="6">
        <f>((K13-K16-K17)-Q24)/E16</f>
        <v>-0.23249337026385578</v>
      </c>
      <c r="M72" s="6"/>
    </row>
    <row r="73" spans="1:13">
      <c r="A73" s="6"/>
      <c r="G73" s="2" t="s">
        <v>113</v>
      </c>
      <c r="H73" s="6">
        <f>-4.84 + 0.92 *H67  + 0.528 *H65 + 0.404 *H71 + 0.892 *H66 + 0.115 *H69 - 0.172 *H68- 0.327 *H70 + 4.697 *H72</f>
        <v>-7.9086245309993677</v>
      </c>
      <c r="I73" s="6">
        <f>-4.84 + 0.92 *I67  + 0.528 *I65 + 0.404 *I71 + 0.892 *I66 + 0.115 *I69 - 0.172 *I68- 0.327 *I70 + 4.697 *I72</f>
        <v>-4.481944200485585</v>
      </c>
      <c r="J73" s="6">
        <f>-4.84 + 0.92 *J67  + 0.528 *J65 + 0.404 *J71 + 0.892 *J66 + 0.115 *J69 - 0.172 *J68- 0.327 *J70 + 4.697 *J72</f>
        <v>-3.4759724061032031</v>
      </c>
      <c r="M73" s="6"/>
    </row>
    <row r="74" spans="1:13">
      <c r="A74" s="6"/>
      <c r="G74" s="6"/>
      <c r="H74" s="6" t="str">
        <f>IF(H73&gt;-2.22,"CARE","Good")</f>
        <v>Good</v>
      </c>
      <c r="I74" s="6" t="str">
        <f>IF(I73&gt;-2.22,"CARE","Good")</f>
        <v>Good</v>
      </c>
      <c r="J74" s="6" t="str">
        <f>IF(J73&gt;-2.22,"CARE","Good")</f>
        <v>Good</v>
      </c>
      <c r="M74" s="6"/>
    </row>
    <row r="75" spans="1:13">
      <c r="A75" s="6"/>
      <c r="G75" s="2" t="s">
        <v>86</v>
      </c>
      <c r="H75" s="6">
        <f ca="1">H59*$B$7/$B$5</f>
        <v>1.0061626430149604E-3</v>
      </c>
      <c r="I75" s="6">
        <f ca="1">I59*$B$7/$B$5</f>
        <v>7.2519616780508678E-4</v>
      </c>
      <c r="J75" s="6">
        <f ca="1">J59*$B$7/$B$5</f>
        <v>5.1884002461365607E-4</v>
      </c>
      <c r="K75" s="6">
        <f ca="1">K59*$B$7/$B$5</f>
        <v>4.0449693615407593E-4</v>
      </c>
      <c r="M75" s="6"/>
    </row>
    <row r="76" spans="1:13">
      <c r="A76" s="6"/>
      <c r="G76" s="2" t="s">
        <v>87</v>
      </c>
      <c r="M76" s="6"/>
    </row>
    <row r="77" spans="1:13">
      <c r="A77" s="6"/>
      <c r="G77" s="2" t="s">
        <v>88</v>
      </c>
      <c r="M77" s="6"/>
    </row>
    <row r="78" spans="1:13">
      <c r="A78" s="6"/>
      <c r="G78" s="2" t="s">
        <v>89</v>
      </c>
      <c r="H78" s="74">
        <f ca="1">(H15-H16)/$B$6</f>
        <v>0.12654222154764608</v>
      </c>
      <c r="I78" s="74">
        <f ca="1">(I15-I16)/$B$6</f>
        <v>0.16615738463712518</v>
      </c>
      <c r="J78" s="74">
        <f ca="1">(J15-J16)/$B$6</f>
        <v>0.15601761206296022</v>
      </c>
      <c r="K78" s="74">
        <f ca="1">(K15-K16)/$B$6</f>
        <v>0.12706515647902308</v>
      </c>
      <c r="M78" s="6"/>
    </row>
    <row r="79" spans="1:13">
      <c r="A79" s="6"/>
      <c r="G79" s="2" t="s">
        <v>122</v>
      </c>
      <c r="H79" s="74">
        <f ca="1">$B$6/H20</f>
        <v>9.4514829984408646</v>
      </c>
      <c r="I79" s="74">
        <f ca="1">$B$6/(I15-I16)</f>
        <v>6.0183903483069514</v>
      </c>
      <c r="J79" s="74">
        <f ca="1">$B$6/(J15-J16)</f>
        <v>6.4095327878525303</v>
      </c>
      <c r="K79" s="74">
        <f ca="1">$B$6/(K15-K16)</f>
        <v>7.8699781097352828</v>
      </c>
      <c r="M79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Normal="100" workbookViewId="0">
      <selection activeCell="G20" sqref="G20"/>
    </sheetView>
  </sheetViews>
  <sheetFormatPr defaultRowHeight="15"/>
  <cols>
    <col min="1" max="1" width="25"/>
    <col min="2" max="6" width="15.140625"/>
    <col min="7" max="7" width="22.5703125"/>
    <col min="8" max="12" width="15.140625"/>
    <col min="13" max="13" width="32.140625"/>
    <col min="14" max="26" width="15.140625"/>
    <col min="27" max="1025" width="14.42578125"/>
  </cols>
  <sheetData>
    <row r="1" spans="1:17">
      <c r="A1" s="2"/>
      <c r="B1" s="1">
        <v>2230</v>
      </c>
      <c r="G1" s="6"/>
      <c r="M1" s="6"/>
    </row>
    <row r="2" spans="1:17">
      <c r="A2" s="2"/>
      <c r="B2" t="str">
        <f ca="1">IFERROR(__xludf.dummyfunction("GoogleFinance(""TADAWUL:""&amp;B1,""eps"")"),"2.04")</f>
        <v>2.04</v>
      </c>
      <c r="G2" s="6"/>
      <c r="M2" s="6"/>
    </row>
    <row r="3" spans="1:17">
      <c r="A3" s="2"/>
      <c r="G3" s="6"/>
      <c r="M3" s="6"/>
    </row>
    <row r="4" spans="1:17">
      <c r="A4" s="2" t="str">
        <f ca="1">IFERROR(__xludf.dummyfunction("GOOGLEFINANCE(""TADAWUL:1301"")"),"15.56")</f>
        <v>15.56</v>
      </c>
      <c r="G4" s="6"/>
      <c r="M4" s="6"/>
    </row>
    <row r="5" spans="1:17">
      <c r="A5" s="2" t="s">
        <v>0</v>
      </c>
      <c r="B5" s="3" t="str">
        <f ca="1">IFERROR(__xludf.dummyfunction("GoogleFinance(""TADAWUL:""&amp;B1,""marketcap"")/1000"),"1,938,305.98")</f>
        <v>1,938,305.98</v>
      </c>
      <c r="C5" s="6">
        <f ca="1">H11/1000/B7</f>
        <v>33.934709044908281</v>
      </c>
      <c r="D5" s="6">
        <f ca="1">100/C5</f>
        <v>2.9468353439442398</v>
      </c>
      <c r="G5" s="6"/>
      <c r="M5" s="6"/>
    </row>
    <row r="6" spans="1:17">
      <c r="A6" s="2" t="s">
        <v>1</v>
      </c>
      <c r="B6" s="4">
        <f ca="1">B5+(B22-B20)-N23</f>
        <v>3714565.98</v>
      </c>
      <c r="C6" s="28">
        <f ca="1">H20/B6</f>
        <v>4.3976873981923452E-2</v>
      </c>
      <c r="G6" s="6"/>
      <c r="M6" s="6"/>
    </row>
    <row r="7" spans="1:17">
      <c r="A7" s="2" t="s">
        <v>2</v>
      </c>
      <c r="B7" s="5" t="str">
        <f ca="1">IFERROR(__xludf.dummyfunction("GoogleFinance(""TADAWUL:""&amp;B1,""shares"")/1000000"),"63.24")</f>
        <v>63.24</v>
      </c>
      <c r="G7" s="6"/>
      <c r="M7" s="6"/>
    </row>
    <row r="8" spans="1:17">
      <c r="A8" s="6"/>
      <c r="G8" s="6"/>
      <c r="M8" s="6"/>
    </row>
    <row r="9" spans="1:17">
      <c r="A9" s="6"/>
      <c r="G9" s="6"/>
      <c r="M9" s="6"/>
    </row>
    <row r="10" spans="1:17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G10" s="7" t="s">
        <v>4</v>
      </c>
      <c r="H10" s="8">
        <v>42735</v>
      </c>
      <c r="I10" s="8">
        <v>42369</v>
      </c>
      <c r="J10" s="8">
        <v>42004</v>
      </c>
      <c r="K10" s="8">
        <v>41639</v>
      </c>
      <c r="M10" s="7" t="s">
        <v>5</v>
      </c>
      <c r="N10" s="8">
        <v>42735</v>
      </c>
      <c r="O10" s="8">
        <v>42369</v>
      </c>
      <c r="P10" s="8">
        <v>42004</v>
      </c>
      <c r="Q10" s="8">
        <v>41639</v>
      </c>
    </row>
    <row r="11" spans="1:17">
      <c r="A11" s="10" t="s">
        <v>6</v>
      </c>
      <c r="B11" s="11">
        <v>1596549</v>
      </c>
      <c r="C11" s="11">
        <v>1821595</v>
      </c>
      <c r="D11" s="11">
        <v>1686719</v>
      </c>
      <c r="E11" s="11">
        <v>1587097</v>
      </c>
      <c r="G11" s="10" t="s">
        <v>7</v>
      </c>
      <c r="H11" s="11">
        <v>2146031</v>
      </c>
      <c r="I11" s="11">
        <v>2409773</v>
      </c>
      <c r="J11" s="11">
        <v>2484315</v>
      </c>
      <c r="K11" s="11">
        <v>2275121</v>
      </c>
      <c r="M11" s="10" t="s">
        <v>8</v>
      </c>
      <c r="N11" s="11">
        <v>164233</v>
      </c>
      <c r="O11" s="11">
        <v>280922</v>
      </c>
      <c r="P11" s="11">
        <v>312848</v>
      </c>
      <c r="Q11" s="11">
        <v>325919</v>
      </c>
    </row>
    <row r="12" spans="1:17">
      <c r="A12" s="10" t="s">
        <v>9</v>
      </c>
      <c r="B12" s="11">
        <v>809152</v>
      </c>
      <c r="C12" s="11">
        <v>612285</v>
      </c>
      <c r="D12" s="11">
        <v>549641</v>
      </c>
      <c r="E12" s="11">
        <v>657357</v>
      </c>
      <c r="G12" s="10" t="s">
        <v>10</v>
      </c>
      <c r="H12" s="11">
        <v>1740810</v>
      </c>
      <c r="I12" s="11">
        <v>1916780</v>
      </c>
      <c r="J12" s="11">
        <v>1981519</v>
      </c>
      <c r="K12" s="11">
        <v>1795635</v>
      </c>
      <c r="M12" s="10" t="s">
        <v>11</v>
      </c>
      <c r="N12" s="11">
        <v>21560</v>
      </c>
      <c r="O12" s="11">
        <v>21240</v>
      </c>
      <c r="P12" s="11">
        <v>17734</v>
      </c>
      <c r="Q12" s="11">
        <v>18793</v>
      </c>
    </row>
    <row r="13" spans="1:17">
      <c r="A13" s="10" t="s">
        <v>12</v>
      </c>
      <c r="B13" s="18"/>
      <c r="C13" s="18"/>
      <c r="D13" s="18"/>
      <c r="E13" s="18"/>
      <c r="G13" s="10" t="s">
        <v>13</v>
      </c>
      <c r="H13" s="11">
        <v>405221</v>
      </c>
      <c r="I13" s="11">
        <v>492993</v>
      </c>
      <c r="J13" s="11">
        <v>502796</v>
      </c>
      <c r="K13" s="11">
        <v>479486</v>
      </c>
      <c r="M13" s="10" t="s">
        <v>14</v>
      </c>
      <c r="N13" s="11">
        <v>142978</v>
      </c>
      <c r="O13" s="13">
        <v>-430029</v>
      </c>
      <c r="P13" s="13">
        <v>-12305</v>
      </c>
      <c r="Q13" s="13">
        <v>-273374</v>
      </c>
    </row>
    <row r="14" spans="1:17">
      <c r="A14" s="10" t="s">
        <v>15</v>
      </c>
      <c r="B14" s="11">
        <v>412087</v>
      </c>
      <c r="C14" s="11">
        <v>374390</v>
      </c>
      <c r="D14" s="11">
        <v>287903</v>
      </c>
      <c r="E14" s="11">
        <v>213256</v>
      </c>
      <c r="G14" s="10" t="s">
        <v>16</v>
      </c>
      <c r="H14" s="11">
        <v>2240</v>
      </c>
      <c r="I14" s="11">
        <v>7542</v>
      </c>
      <c r="J14" s="11">
        <v>5258</v>
      </c>
      <c r="K14" s="11">
        <v>16828</v>
      </c>
      <c r="M14" s="10" t="s">
        <v>9</v>
      </c>
      <c r="N14" s="13">
        <v>-198062</v>
      </c>
      <c r="O14" s="13">
        <v>-25219</v>
      </c>
      <c r="P14" s="11">
        <v>105967</v>
      </c>
      <c r="Q14" s="13">
        <v>-139275</v>
      </c>
    </row>
    <row r="15" spans="1:17">
      <c r="A15" s="10" t="s">
        <v>17</v>
      </c>
      <c r="B15" s="11">
        <v>503718</v>
      </c>
      <c r="C15" s="11">
        <v>490446</v>
      </c>
      <c r="D15" s="11">
        <v>477681</v>
      </c>
      <c r="E15" s="11">
        <v>475886</v>
      </c>
      <c r="G15" s="10" t="s">
        <v>18</v>
      </c>
      <c r="H15" s="11">
        <v>407461</v>
      </c>
      <c r="I15" s="11">
        <v>500535</v>
      </c>
      <c r="J15" s="11">
        <v>508054</v>
      </c>
      <c r="K15" s="11">
        <v>496314</v>
      </c>
      <c r="M15" s="10" t="s">
        <v>19</v>
      </c>
      <c r="N15" s="13">
        <v>-3977</v>
      </c>
      <c r="O15" s="13">
        <v>-925</v>
      </c>
      <c r="P15" s="13">
        <v>-12750</v>
      </c>
      <c r="Q15" s="13">
        <v>-3130</v>
      </c>
    </row>
    <row r="16" spans="1:17">
      <c r="A16" s="10" t="s">
        <v>20</v>
      </c>
      <c r="B16" s="11">
        <v>3321506</v>
      </c>
      <c r="C16" s="11">
        <v>3298716</v>
      </c>
      <c r="D16" s="11">
        <v>3001944</v>
      </c>
      <c r="E16" s="11">
        <v>2933596</v>
      </c>
      <c r="G16" s="10" t="s">
        <v>21</v>
      </c>
      <c r="H16" s="11">
        <v>197954</v>
      </c>
      <c r="I16" s="11">
        <v>200186</v>
      </c>
      <c r="J16" s="11">
        <v>180634</v>
      </c>
      <c r="K16" s="11">
        <v>159991</v>
      </c>
      <c r="M16" s="10" t="s">
        <v>22</v>
      </c>
      <c r="N16" s="13">
        <v>-131026</v>
      </c>
      <c r="O16" s="13">
        <v>-34280</v>
      </c>
      <c r="P16" s="13">
        <v>-76758</v>
      </c>
      <c r="Q16" s="11">
        <v>213005</v>
      </c>
    </row>
    <row r="17" spans="1:26">
      <c r="A17" s="10" t="s">
        <v>23</v>
      </c>
      <c r="B17" s="11">
        <v>1676098</v>
      </c>
      <c r="C17" s="11">
        <v>1643708</v>
      </c>
      <c r="D17" s="11">
        <v>1403906</v>
      </c>
      <c r="E17" s="11">
        <v>1385508</v>
      </c>
      <c r="G17" s="10" t="s">
        <v>11</v>
      </c>
      <c r="H17" s="11">
        <v>10129</v>
      </c>
      <c r="I17" s="11">
        <v>9738</v>
      </c>
      <c r="J17" s="11">
        <v>7662</v>
      </c>
      <c r="K17" s="11">
        <v>4022</v>
      </c>
      <c r="M17" s="10" t="s">
        <v>24</v>
      </c>
      <c r="N17" s="13">
        <v>-452</v>
      </c>
      <c r="O17" s="13">
        <v>-733</v>
      </c>
      <c r="P17" s="13">
        <v>-19370</v>
      </c>
      <c r="Q17" s="13">
        <v>-30572</v>
      </c>
    </row>
    <row r="18" spans="1:26">
      <c r="A18" s="10" t="s">
        <v>25</v>
      </c>
      <c r="B18" s="11">
        <v>125609</v>
      </c>
      <c r="C18" s="11">
        <v>47275</v>
      </c>
      <c r="D18" s="11">
        <v>47195</v>
      </c>
      <c r="E18" s="11">
        <v>41847</v>
      </c>
      <c r="G18" s="10" t="s">
        <v>26</v>
      </c>
      <c r="H18" s="11">
        <v>36023</v>
      </c>
      <c r="I18" s="11">
        <v>10968</v>
      </c>
      <c r="J18" s="11">
        <v>8201</v>
      </c>
      <c r="K18" s="11">
        <v>7670</v>
      </c>
      <c r="M18" s="10" t="s">
        <v>27</v>
      </c>
      <c r="N18" s="13">
        <v>-63621</v>
      </c>
      <c r="O18" s="13">
        <v>-122756</v>
      </c>
      <c r="P18" s="13">
        <v>-94224</v>
      </c>
      <c r="Q18" s="13">
        <v>-35466</v>
      </c>
    </row>
    <row r="19" spans="1:26">
      <c r="A19" s="10" t="s">
        <v>28</v>
      </c>
      <c r="B19" s="18"/>
      <c r="C19" s="18"/>
      <c r="D19" s="18"/>
      <c r="E19" s="18"/>
      <c r="G19" s="10" t="s">
        <v>29</v>
      </c>
      <c r="H19" s="11">
        <v>244106</v>
      </c>
      <c r="I19" s="11">
        <v>220892</v>
      </c>
      <c r="J19" s="11">
        <v>196497</v>
      </c>
      <c r="K19" s="11">
        <v>171683</v>
      </c>
      <c r="M19" s="10" t="s">
        <v>30</v>
      </c>
      <c r="N19" s="11">
        <v>2770</v>
      </c>
      <c r="O19" s="11">
        <v>232461</v>
      </c>
      <c r="P19" s="11">
        <v>2140</v>
      </c>
      <c r="Q19" s="11">
        <v>17500</v>
      </c>
    </row>
    <row r="20" spans="1:26">
      <c r="A20" s="10" t="s">
        <v>31</v>
      </c>
      <c r="B20" s="11">
        <v>1514199</v>
      </c>
      <c r="C20" s="11">
        <v>1602261</v>
      </c>
      <c r="D20" s="11">
        <v>1545350</v>
      </c>
      <c r="E20" s="11">
        <v>1500739</v>
      </c>
      <c r="G20" s="10" t="s">
        <v>32</v>
      </c>
      <c r="H20" s="11">
        <v>163355</v>
      </c>
      <c r="I20" s="11">
        <v>279643</v>
      </c>
      <c r="J20" s="11">
        <v>311557</v>
      </c>
      <c r="K20" s="11">
        <v>324631</v>
      </c>
      <c r="M20" s="10" t="s">
        <v>33</v>
      </c>
      <c r="N20" s="11">
        <v>220427</v>
      </c>
      <c r="O20" s="11">
        <v>222087</v>
      </c>
      <c r="P20" s="11">
        <v>97820</v>
      </c>
      <c r="Q20" s="11">
        <v>93832</v>
      </c>
    </row>
    <row r="21" spans="1:26">
      <c r="A21" s="10" t="s">
        <v>34</v>
      </c>
      <c r="B21" s="11">
        <v>5600</v>
      </c>
      <c r="C21" s="15"/>
      <c r="D21" s="18"/>
      <c r="E21" s="15"/>
      <c r="G21" s="10" t="s">
        <v>35</v>
      </c>
      <c r="H21" s="11">
        <v>25539</v>
      </c>
      <c r="I21" s="11">
        <v>28012</v>
      </c>
      <c r="J21" s="11">
        <v>27996</v>
      </c>
      <c r="K21" s="11">
        <v>24028</v>
      </c>
      <c r="M21" s="10" t="s">
        <v>36</v>
      </c>
      <c r="N21" s="13">
        <v>-223140</v>
      </c>
      <c r="O21" s="13">
        <v>-192508</v>
      </c>
      <c r="P21" s="13">
        <v>-239865</v>
      </c>
      <c r="Q21" s="13">
        <v>-222671</v>
      </c>
    </row>
    <row r="22" spans="1:26">
      <c r="A22" s="10" t="s">
        <v>37</v>
      </c>
      <c r="B22" s="11">
        <v>3321506</v>
      </c>
      <c r="C22" s="11">
        <v>3298716</v>
      </c>
      <c r="D22" s="11">
        <v>3001944</v>
      </c>
      <c r="E22" s="11">
        <v>2933596</v>
      </c>
      <c r="G22" s="10" t="s">
        <v>8</v>
      </c>
      <c r="H22" s="11">
        <v>137816</v>
      </c>
      <c r="I22" s="11">
        <v>251631</v>
      </c>
      <c r="J22" s="11">
        <v>283561</v>
      </c>
      <c r="K22" s="11">
        <v>300603</v>
      </c>
      <c r="M22" s="10" t="s">
        <v>38</v>
      </c>
      <c r="N22" s="11">
        <v>99357</v>
      </c>
      <c r="O22" s="11">
        <v>149097</v>
      </c>
      <c r="P22" s="11">
        <v>67860</v>
      </c>
      <c r="Q22" s="11">
        <v>103299</v>
      </c>
    </row>
    <row r="23" spans="1:26">
      <c r="A23" s="6"/>
      <c r="B23" s="4">
        <f>B11+B12</f>
        <v>2405701</v>
      </c>
      <c r="C23" s="4">
        <f>C11+C12</f>
        <v>2433880</v>
      </c>
      <c r="D23" s="4">
        <f>D11+D12</f>
        <v>2236360</v>
      </c>
      <c r="E23" s="4">
        <f>E11+E12</f>
        <v>2244454</v>
      </c>
      <c r="G23" s="10" t="s">
        <v>39</v>
      </c>
      <c r="H23" s="11">
        <v>371434</v>
      </c>
      <c r="I23" s="11">
        <v>379224</v>
      </c>
      <c r="J23" s="11">
        <v>405849</v>
      </c>
      <c r="K23" s="11">
        <v>396646</v>
      </c>
      <c r="M23" s="10" t="s">
        <v>40</v>
      </c>
      <c r="N23" s="11">
        <v>31047</v>
      </c>
      <c r="O23" s="11">
        <v>99357</v>
      </c>
      <c r="P23" s="11">
        <v>149097</v>
      </c>
      <c r="Q23" s="11">
        <v>67860</v>
      </c>
    </row>
    <row r="24" spans="1:26">
      <c r="A24" s="6"/>
      <c r="B24" s="6">
        <f>B16/(B22-B20)</f>
        <v>1.8378205805654491</v>
      </c>
      <c r="C24" s="6">
        <f>C16/(C22-C20)</f>
        <v>1.9444759807952465</v>
      </c>
      <c r="D24" s="6">
        <f>D16/(D22-D20)</f>
        <v>2.0609339321732754</v>
      </c>
      <c r="E24" s="6">
        <f>E16/(E22-E20)</f>
        <v>2.0473752789008253</v>
      </c>
      <c r="G24" s="10" t="s">
        <v>41</v>
      </c>
      <c r="H24" s="11">
        <v>53782</v>
      </c>
      <c r="I24" s="11">
        <v>65163</v>
      </c>
      <c r="J24" s="11">
        <v>68356</v>
      </c>
      <c r="K24" s="11">
        <v>70060</v>
      </c>
      <c r="M24" s="2" t="s">
        <v>42</v>
      </c>
      <c r="N24" s="12">
        <f>SUM(N11:N17)</f>
        <v>-4746</v>
      </c>
      <c r="O24" s="12">
        <f>SUM(O11:O17)</f>
        <v>-189024</v>
      </c>
      <c r="P24" s="12">
        <f>SUM(P11:P17)</f>
        <v>315366</v>
      </c>
      <c r="Q24" s="12">
        <f>SUM(Q11:Q17)</f>
        <v>111366</v>
      </c>
    </row>
    <row r="25" spans="1:26">
      <c r="A25" s="6"/>
      <c r="B25" s="6">
        <f ca="1">B24/B5*1000</f>
        <v>9.4815813371501286E-4</v>
      </c>
      <c r="G25" s="10" t="s">
        <v>43</v>
      </c>
      <c r="H25" s="11">
        <v>221340</v>
      </c>
      <c r="I25" s="11">
        <v>189720</v>
      </c>
      <c r="J25" s="11">
        <v>237150</v>
      </c>
      <c r="K25" s="11">
        <v>221340</v>
      </c>
      <c r="M25" s="2" t="s">
        <v>44</v>
      </c>
      <c r="N25" s="12">
        <f>N18+N19</f>
        <v>-60851</v>
      </c>
      <c r="O25" s="12">
        <f>O18+O19</f>
        <v>109705</v>
      </c>
      <c r="P25" s="12">
        <f>P18+P19</f>
        <v>-92084</v>
      </c>
      <c r="Q25" s="12">
        <f>Q18+Q19</f>
        <v>-17966</v>
      </c>
    </row>
    <row r="26" spans="1:26">
      <c r="A26" s="6"/>
      <c r="B26" s="4">
        <f>B23-B17</f>
        <v>729603</v>
      </c>
      <c r="C26" s="4">
        <f>C23-C17</f>
        <v>790172</v>
      </c>
      <c r="G26" s="10" t="s">
        <v>45</v>
      </c>
      <c r="H26" s="11">
        <v>1800</v>
      </c>
      <c r="I26" s="11">
        <v>1800</v>
      </c>
      <c r="J26" s="11">
        <v>1800</v>
      </c>
      <c r="K26" s="18"/>
      <c r="M26" s="2" t="s">
        <v>46</v>
      </c>
      <c r="N26" s="12">
        <f>N20+N21</f>
        <v>-2713</v>
      </c>
      <c r="O26" s="12">
        <f>O20+O21</f>
        <v>29579</v>
      </c>
      <c r="P26" s="12">
        <f>P20+P21</f>
        <v>-142045</v>
      </c>
      <c r="Q26" s="12">
        <f>Q20+Q21</f>
        <v>-128839</v>
      </c>
    </row>
    <row r="27" spans="1:26">
      <c r="A27" s="6"/>
      <c r="B27" s="6">
        <f>B22/90000</f>
        <v>36.90562222222222</v>
      </c>
      <c r="F27" s="6">
        <f>H20*0.025</f>
        <v>4083.875</v>
      </c>
      <c r="G27" s="10" t="s">
        <v>47</v>
      </c>
      <c r="H27" s="11">
        <v>232328</v>
      </c>
      <c r="I27" s="11">
        <v>374172</v>
      </c>
      <c r="J27" s="11">
        <v>382104</v>
      </c>
      <c r="K27" s="11">
        <v>405849</v>
      </c>
      <c r="M27" s="2" t="s">
        <v>119</v>
      </c>
      <c r="N27" s="12">
        <f>N24+N18</f>
        <v>-68367</v>
      </c>
      <c r="O27" s="12">
        <f>O24+O18</f>
        <v>-311780</v>
      </c>
      <c r="P27" s="12">
        <f>P24+P18</f>
        <v>221142</v>
      </c>
      <c r="Q27" s="12">
        <f>Q24+Q18</f>
        <v>75900</v>
      </c>
    </row>
    <row r="28" spans="1:26">
      <c r="A28" s="6"/>
      <c r="G28" s="6"/>
      <c r="M28" s="2" t="s">
        <v>120</v>
      </c>
      <c r="N28" s="12">
        <f>(C11-B11)+(B17-C17)</f>
        <v>257436</v>
      </c>
      <c r="O28" s="12">
        <f>(D11-C11)+(C17-D17)</f>
        <v>104926</v>
      </c>
      <c r="P28" s="12">
        <f>(E11-D11)+(D17-E17)</f>
        <v>-81224</v>
      </c>
      <c r="Q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0.48067021405350463</v>
      </c>
      <c r="C30" s="24">
        <f t="shared" si="0"/>
        <v>0.55221334604130823</v>
      </c>
      <c r="D30" s="24">
        <f t="shared" si="0"/>
        <v>0.56187557129646659</v>
      </c>
      <c r="E30" s="24">
        <f t="shared" si="0"/>
        <v>0.54100735070541406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7.6528717432320412E-2</v>
      </c>
      <c r="O30" s="26">
        <f t="shared" ref="O30:O42" si="3">O11/I$11</f>
        <v>0.11657612563507019</v>
      </c>
      <c r="P30" s="26">
        <f t="shared" ref="P30:P42" si="4">P11/J$11</f>
        <v>0.12592928030463127</v>
      </c>
      <c r="Q30" s="26">
        <f t="shared" ref="Q30:Q42" si="5">Q11/K$11</f>
        <v>0.14325347970503546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0.24360997692010794</v>
      </c>
      <c r="C31" s="24">
        <f t="shared" si="0"/>
        <v>0.18561312947219463</v>
      </c>
      <c r="D31" s="24">
        <f t="shared" si="0"/>
        <v>0.18309502109299841</v>
      </c>
      <c r="E31" s="24">
        <f t="shared" si="0"/>
        <v>0.22407891202469596</v>
      </c>
      <c r="F31" s="6"/>
      <c r="G31" s="25" t="s">
        <v>10</v>
      </c>
      <c r="H31" s="24">
        <f t="shared" si="1"/>
        <v>0.81117653938829404</v>
      </c>
      <c r="I31" s="24">
        <f t="shared" si="1"/>
        <v>0.79541931957906409</v>
      </c>
      <c r="J31" s="24">
        <f t="shared" si="1"/>
        <v>0.79761181653695279</v>
      </c>
      <c r="K31" s="24">
        <f t="shared" si="1"/>
        <v>0.78924813229713942</v>
      </c>
      <c r="L31" s="6"/>
      <c r="M31" s="25" t="s">
        <v>11</v>
      </c>
      <c r="N31" s="26">
        <f t="shared" si="2"/>
        <v>1.0046453196622044E-2</v>
      </c>
      <c r="O31" s="26">
        <f t="shared" si="3"/>
        <v>8.8141082168320412E-3</v>
      </c>
      <c r="P31" s="26">
        <f t="shared" si="4"/>
        <v>7.1383862352398953E-3</v>
      </c>
      <c r="Q31" s="26">
        <f t="shared" si="5"/>
        <v>8.2602200058810062E-3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</v>
      </c>
      <c r="C32" s="24">
        <f t="shared" si="0"/>
        <v>0</v>
      </c>
      <c r="D32" s="24">
        <f t="shared" si="0"/>
        <v>0</v>
      </c>
      <c r="E32" s="24">
        <f t="shared" si="0"/>
        <v>0</v>
      </c>
      <c r="F32" s="6"/>
      <c r="G32" s="25" t="s">
        <v>13</v>
      </c>
      <c r="H32" s="24">
        <f t="shared" si="1"/>
        <v>0.18882346061170599</v>
      </c>
      <c r="I32" s="24">
        <f t="shared" si="1"/>
        <v>0.20458068042093591</v>
      </c>
      <c r="J32" s="24">
        <f t="shared" si="1"/>
        <v>0.20238818346304716</v>
      </c>
      <c r="K32" s="24">
        <f t="shared" si="1"/>
        <v>0.21075186770286064</v>
      </c>
      <c r="L32" s="6"/>
      <c r="M32" s="25" t="s">
        <v>14</v>
      </c>
      <c r="N32" s="26">
        <f t="shared" si="2"/>
        <v>6.6624387066170063E-2</v>
      </c>
      <c r="O32" s="26">
        <f t="shared" si="3"/>
        <v>-0.17845207826629314</v>
      </c>
      <c r="P32" s="26">
        <f t="shared" si="4"/>
        <v>-4.9530755962911305E-3</v>
      </c>
      <c r="Q32" s="26">
        <f t="shared" si="5"/>
        <v>-0.12015800478304231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0.12406631208855261</v>
      </c>
      <c r="C33" s="24">
        <f t="shared" si="0"/>
        <v>0.11349567528699045</v>
      </c>
      <c r="D33" s="24">
        <f t="shared" si="0"/>
        <v>9.5905519889778093E-2</v>
      </c>
      <c r="E33" s="24">
        <f t="shared" si="0"/>
        <v>7.2694399637850612E-2</v>
      </c>
      <c r="F33" s="6"/>
      <c r="G33" s="25" t="s">
        <v>16</v>
      </c>
      <c r="H33" s="24">
        <f t="shared" si="1"/>
        <v>1.0437873451035889E-3</v>
      </c>
      <c r="I33" s="24">
        <f t="shared" si="1"/>
        <v>3.1297553752988351E-3</v>
      </c>
      <c r="J33" s="24">
        <f t="shared" si="1"/>
        <v>2.1164787879153811E-3</v>
      </c>
      <c r="K33" s="24">
        <f t="shared" si="1"/>
        <v>7.3965296790808053E-3</v>
      </c>
      <c r="L33" s="6"/>
      <c r="M33" s="25" t="s">
        <v>9</v>
      </c>
      <c r="N33" s="26">
        <f t="shared" si="2"/>
        <v>-9.2292236225851351E-2</v>
      </c>
      <c r="O33" s="26">
        <f t="shared" si="3"/>
        <v>-1.0465301088525766E-2</v>
      </c>
      <c r="P33" s="26">
        <f t="shared" si="4"/>
        <v>4.2654413792131834E-2</v>
      </c>
      <c r="Q33" s="26">
        <f t="shared" si="5"/>
        <v>-6.1216524307937906E-2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0.15165349693783484</v>
      </c>
      <c r="C34" s="24">
        <f t="shared" si="0"/>
        <v>0.14867784919950672</v>
      </c>
      <c r="D34" s="24">
        <f t="shared" si="0"/>
        <v>0.15912388772075695</v>
      </c>
      <c r="E34" s="24">
        <f t="shared" si="0"/>
        <v>0.1622193376320393</v>
      </c>
      <c r="F34" s="6"/>
      <c r="G34" s="25" t="s">
        <v>18</v>
      </c>
      <c r="H34" s="24">
        <f t="shared" si="1"/>
        <v>0.18986724795680957</v>
      </c>
      <c r="I34" s="24">
        <f t="shared" si="1"/>
        <v>0.20771043579623474</v>
      </c>
      <c r="J34" s="24">
        <f t="shared" si="1"/>
        <v>0.20450466225096253</v>
      </c>
      <c r="K34" s="24">
        <f t="shared" si="1"/>
        <v>0.21814839738194144</v>
      </c>
      <c r="L34" s="6"/>
      <c r="M34" s="25" t="s">
        <v>19</v>
      </c>
      <c r="N34" s="26">
        <f t="shared" si="2"/>
        <v>-1.85318851405222E-3</v>
      </c>
      <c r="O34" s="26">
        <f t="shared" si="3"/>
        <v>-3.8385358288934267E-4</v>
      </c>
      <c r="P34" s="26">
        <f t="shared" si="4"/>
        <v>-5.1321994191557835E-3</v>
      </c>
      <c r="Q34" s="26">
        <f t="shared" si="5"/>
        <v>-1.3757510040125339E-3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9.2241910764569571E-2</v>
      </c>
      <c r="I35" s="24">
        <f t="shared" si="1"/>
        <v>8.3072554966795623E-2</v>
      </c>
      <c r="J35" s="24">
        <f t="shared" si="1"/>
        <v>7.270978116704202E-2</v>
      </c>
      <c r="K35" s="24">
        <f t="shared" si="1"/>
        <v>7.0321974084015748E-2</v>
      </c>
      <c r="L35" s="6"/>
      <c r="M35" s="25" t="s">
        <v>22</v>
      </c>
      <c r="N35" s="26">
        <f t="shared" si="2"/>
        <v>-6.1055036017653053E-2</v>
      </c>
      <c r="O35" s="26">
        <f t="shared" si="3"/>
        <v>-1.4225406293455856E-2</v>
      </c>
      <c r="P35" s="26">
        <f t="shared" si="4"/>
        <v>-3.0897048079651736E-2</v>
      </c>
      <c r="Q35" s="26">
        <f t="shared" si="5"/>
        <v>9.3623591888079796E-2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0.50461989230186544</v>
      </c>
      <c r="C36" s="24">
        <f t="shared" si="0"/>
        <v>0.49828721235777801</v>
      </c>
      <c r="D36" s="24">
        <f t="shared" si="0"/>
        <v>0.46766561934533091</v>
      </c>
      <c r="E36" s="24">
        <f t="shared" si="0"/>
        <v>0.47228998130621941</v>
      </c>
      <c r="F36" s="6"/>
      <c r="G36" s="25" t="s">
        <v>11</v>
      </c>
      <c r="H36" s="24">
        <f t="shared" si="1"/>
        <v>4.719875901140291E-3</v>
      </c>
      <c r="I36" s="24">
        <f t="shared" si="1"/>
        <v>4.0410445299204527E-3</v>
      </c>
      <c r="J36" s="24">
        <f t="shared" si="1"/>
        <v>3.0841499568291459E-3</v>
      </c>
      <c r="K36" s="24">
        <f t="shared" si="1"/>
        <v>1.7678180633030067E-3</v>
      </c>
      <c r="L36" s="6"/>
      <c r="M36" s="25" t="s">
        <v>24</v>
      </c>
      <c r="N36" s="26">
        <f t="shared" si="2"/>
        <v>-2.1062137499411706E-4</v>
      </c>
      <c r="O36" s="26">
        <f t="shared" si="3"/>
        <v>-3.0417802838690616E-4</v>
      </c>
      <c r="P36" s="26">
        <f t="shared" si="4"/>
        <v>-7.7969178626703939E-3</v>
      </c>
      <c r="Q36" s="26">
        <f t="shared" si="5"/>
        <v>-1.3437527059000379E-2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3.7816881860216423E-2</v>
      </c>
      <c r="C37" s="24">
        <f t="shared" si="0"/>
        <v>1.4331333767441634E-2</v>
      </c>
      <c r="D37" s="24">
        <f t="shared" si="0"/>
        <v>1.5721479148178646E-2</v>
      </c>
      <c r="E37" s="24">
        <f t="shared" si="0"/>
        <v>1.4264745384163327E-2</v>
      </c>
      <c r="F37" s="6"/>
      <c r="G37" s="25" t="s">
        <v>26</v>
      </c>
      <c r="H37" s="24">
        <f t="shared" si="1"/>
        <v>1.6785871219940438E-2</v>
      </c>
      <c r="I37" s="24">
        <f t="shared" si="1"/>
        <v>4.551466050951687E-3</v>
      </c>
      <c r="J37" s="24">
        <f t="shared" si="1"/>
        <v>3.301111171489928E-3</v>
      </c>
      <c r="K37" s="24">
        <f t="shared" si="1"/>
        <v>3.371249265423685E-3</v>
      </c>
      <c r="L37" s="6"/>
      <c r="M37" s="25" t="s">
        <v>27</v>
      </c>
      <c r="N37" s="26">
        <f t="shared" si="2"/>
        <v>-2.9645890483408675E-2</v>
      </c>
      <c r="O37" s="26">
        <f t="shared" si="3"/>
        <v>-5.094089775260989E-2</v>
      </c>
      <c r="P37" s="26">
        <f t="shared" si="4"/>
        <v>-3.7927557495728202E-2</v>
      </c>
      <c r="Q37" s="26">
        <f t="shared" si="5"/>
        <v>-1.5588621440354162E-2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0.11374765788565031</v>
      </c>
      <c r="I38" s="24">
        <f t="shared" si="1"/>
        <v>9.1665065547667762E-2</v>
      </c>
      <c r="J38" s="24">
        <f t="shared" si="1"/>
        <v>7.9095042295361101E-2</v>
      </c>
      <c r="K38" s="24">
        <f t="shared" si="1"/>
        <v>7.5461041412742444E-2</v>
      </c>
      <c r="L38" s="6"/>
      <c r="M38" s="25" t="s">
        <v>30</v>
      </c>
      <c r="N38" s="26">
        <f t="shared" si="2"/>
        <v>1.2907548865789917E-3</v>
      </c>
      <c r="O38" s="26">
        <f t="shared" si="3"/>
        <v>9.6465932683285932E-2</v>
      </c>
      <c r="P38" s="26">
        <f t="shared" si="4"/>
        <v>8.6140445152889226E-4</v>
      </c>
      <c r="Q38" s="26">
        <f t="shared" si="5"/>
        <v>7.691898584734614E-3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0.45587724363586879</v>
      </c>
      <c r="C39" s="24">
        <f t="shared" si="0"/>
        <v>0.48572262662199472</v>
      </c>
      <c r="D39" s="24">
        <f t="shared" si="0"/>
        <v>0.51478308722614408</v>
      </c>
      <c r="E39" s="24">
        <f t="shared" si="0"/>
        <v>0.5115697594351778</v>
      </c>
      <c r="F39" s="6"/>
      <c r="G39" s="25" t="s">
        <v>32</v>
      </c>
      <c r="H39" s="24">
        <f t="shared" si="1"/>
        <v>7.6119590071159274E-2</v>
      </c>
      <c r="I39" s="24">
        <f t="shared" si="1"/>
        <v>0.11604537024856698</v>
      </c>
      <c r="J39" s="24">
        <f t="shared" si="1"/>
        <v>0.12540961995560143</v>
      </c>
      <c r="K39" s="24">
        <f t="shared" si="1"/>
        <v>0.14268735596919901</v>
      </c>
      <c r="L39" s="6"/>
      <c r="M39" s="25" t="s">
        <v>33</v>
      </c>
      <c r="N39" s="26">
        <f t="shared" si="2"/>
        <v>0.10271380049961999</v>
      </c>
      <c r="O39" s="26">
        <f t="shared" si="3"/>
        <v>9.2160962879076158E-2</v>
      </c>
      <c r="P39" s="26">
        <f t="shared" si="4"/>
        <v>3.9375038994652452E-2</v>
      </c>
      <c r="Q39" s="26">
        <f t="shared" si="5"/>
        <v>4.1242641600161049E-2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1.6859822020493115E-3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1.1900573663660962E-2</v>
      </c>
      <c r="I40" s="24">
        <f t="shared" si="1"/>
        <v>1.1624331420428397E-2</v>
      </c>
      <c r="J40" s="24">
        <f t="shared" si="1"/>
        <v>1.1269102348132181E-2</v>
      </c>
      <c r="K40" s="24">
        <f t="shared" si="1"/>
        <v>1.0561196525371618E-2</v>
      </c>
      <c r="L40" s="6"/>
      <c r="M40" s="25" t="s">
        <v>36</v>
      </c>
      <c r="N40" s="26">
        <f t="shared" si="2"/>
        <v>-0.10397799472607805</v>
      </c>
      <c r="O40" s="26">
        <f t="shared" si="3"/>
        <v>-7.9886362740390904E-2</v>
      </c>
      <c r="P40" s="26">
        <f t="shared" si="4"/>
        <v>-9.6551765778494267E-2</v>
      </c>
      <c r="Q40" s="26">
        <f t="shared" si="5"/>
        <v>-9.7872157129225215E-2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6.4219016407498303E-2</v>
      </c>
      <c r="I41" s="24">
        <f t="shared" si="1"/>
        <v>0.10442103882813858</v>
      </c>
      <c r="J41" s="24">
        <f t="shared" si="1"/>
        <v>0.11414051760746927</v>
      </c>
      <c r="K41" s="24">
        <f t="shared" si="1"/>
        <v>0.13212615944382738</v>
      </c>
      <c r="L41" s="6"/>
      <c r="M41" s="25" t="s">
        <v>38</v>
      </c>
      <c r="N41" s="26">
        <f t="shared" si="2"/>
        <v>4.6298026449757716E-2</v>
      </c>
      <c r="O41" s="26">
        <f t="shared" si="3"/>
        <v>6.187180286275927E-2</v>
      </c>
      <c r="P41" s="26">
        <f t="shared" si="4"/>
        <v>2.7315376673247956E-2</v>
      </c>
      <c r="Q41" s="26">
        <f t="shared" si="5"/>
        <v>4.5403738965971482E-2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0.17307951283089573</v>
      </c>
      <c r="I42" s="24">
        <f t="shared" si="1"/>
        <v>0.15736917958662497</v>
      </c>
      <c r="J42" s="24">
        <f t="shared" si="1"/>
        <v>0.16336454918156515</v>
      </c>
      <c r="K42" s="24">
        <f t="shared" si="1"/>
        <v>0.17434061748803689</v>
      </c>
      <c r="L42" s="6"/>
      <c r="M42" s="25" t="s">
        <v>40</v>
      </c>
      <c r="N42" s="26">
        <f t="shared" si="2"/>
        <v>1.4467172189031752E-2</v>
      </c>
      <c r="O42" s="26">
        <f t="shared" si="3"/>
        <v>4.1230854524471811E-2</v>
      </c>
      <c r="P42" s="26">
        <f t="shared" si="4"/>
        <v>6.0015336219440774E-2</v>
      </c>
      <c r="Q42" s="26">
        <f t="shared" si="5"/>
        <v>2.9826985026290911E-2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2.5061147765339829E-2</v>
      </c>
      <c r="I43" s="24">
        <f t="shared" si="1"/>
        <v>2.70411362398035E-2</v>
      </c>
      <c r="J43" s="24">
        <f t="shared" si="1"/>
        <v>2.7515029293789232E-2</v>
      </c>
      <c r="K43" s="24">
        <f t="shared" si="1"/>
        <v>3.0793966562657548E-2</v>
      </c>
      <c r="L43" s="6"/>
      <c r="M43" s="2" t="s">
        <v>49</v>
      </c>
      <c r="N43" s="26">
        <f>N24/H11</f>
        <v>-2.2115244374382292E-3</v>
      </c>
      <c r="O43" s="26">
        <f>O24/I11</f>
        <v>-7.844058340764877E-2</v>
      </c>
      <c r="P43" s="26">
        <f>P24/J11</f>
        <v>0.12694283937423395</v>
      </c>
      <c r="Q43" s="26">
        <f>Q24/K11</f>
        <v>4.8949484445003147E-2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0.10313923703804838</v>
      </c>
      <c r="I44" s="24">
        <f t="shared" si="1"/>
        <v>7.8729407292720099E-2</v>
      </c>
      <c r="J44" s="24">
        <f t="shared" si="1"/>
        <v>9.545890919629757E-2</v>
      </c>
      <c r="K44" s="24">
        <f t="shared" si="1"/>
        <v>9.7287133299723397E-2</v>
      </c>
      <c r="L44" s="6"/>
      <c r="M44" s="2" t="s">
        <v>50</v>
      </c>
      <c r="N44" s="26">
        <f>N24/B16</f>
        <v>-1.4288699162367914E-3</v>
      </c>
      <c r="O44" s="26">
        <f>O24/C16</f>
        <v>-5.7302295802366739E-2</v>
      </c>
      <c r="P44" s="26">
        <f>P24/D16</f>
        <v>0.10505392505656334</v>
      </c>
      <c r="Q44" s="26">
        <f>Q24/E16</f>
        <v>3.7962282468342608E-2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8.3875768802966968E-4</v>
      </c>
      <c r="I45" s="24">
        <f t="shared" si="1"/>
        <v>7.4695832346034254E-4</v>
      </c>
      <c r="J45" s="24">
        <f t="shared" si="1"/>
        <v>7.2454580035140467E-4</v>
      </c>
      <c r="K45" s="24">
        <f t="shared" si="1"/>
        <v>0</v>
      </c>
      <c r="L45" s="6"/>
      <c r="M45" s="2" t="s">
        <v>51</v>
      </c>
      <c r="N45" s="26">
        <f>N24/B20</f>
        <v>-3.1343304281669713E-3</v>
      </c>
      <c r="O45" s="26">
        <f>O24/C20</f>
        <v>-0.11797328899598755</v>
      </c>
      <c r="P45" s="26">
        <f>P24/D20</f>
        <v>0.2040741579577442</v>
      </c>
      <c r="Q45" s="26">
        <f>Q24/E20</f>
        <v>7.4207440467662936E-2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0.10825938674697616</v>
      </c>
      <c r="I46" s="24">
        <f t="shared" si="1"/>
        <v>0.15527271655877961</v>
      </c>
      <c r="J46" s="24">
        <f t="shared" si="1"/>
        <v>0.15380658249859619</v>
      </c>
      <c r="K46" s="24">
        <f t="shared" si="1"/>
        <v>0.17838567706948333</v>
      </c>
      <c r="L46" s="6"/>
      <c r="M46" s="2" t="s">
        <v>52</v>
      </c>
      <c r="N46" s="26">
        <f>N24/H22</f>
        <v>-3.4437220642015438E-2</v>
      </c>
      <c r="O46" s="26">
        <f>O24/I22</f>
        <v>-0.75119520249889715</v>
      </c>
      <c r="P46" s="26">
        <f>P24/J22</f>
        <v>1.1121628150556671</v>
      </c>
      <c r="Q46" s="26">
        <f>Q24/K22</f>
        <v>0.37047534455743952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-2.6260065390108045E-3</v>
      </c>
      <c r="O47" s="26">
        <f>O24/(C22-C20)</f>
        <v>-0.11142293783212641</v>
      </c>
      <c r="P47" s="26">
        <f>P24/(D22-D20)</f>
        <v>0.21650919885705969</v>
      </c>
      <c r="Q47" s="26">
        <f>Q24/(E22-E20)</f>
        <v>7.7723038656334856E-2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-2.1442125237191651E-2</v>
      </c>
      <c r="O48" s="26">
        <f>O24/I25</f>
        <v>-0.99633143580012651</v>
      </c>
      <c r="P48" s="26">
        <f>P24/J25</f>
        <v>1.3298165717900063</v>
      </c>
      <c r="Q48" s="26">
        <f>Q24/K25</f>
        <v>0.50314448359989161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-7.459801009100768E-2</v>
      </c>
      <c r="O49" s="26">
        <f>O24/(O18*-1)</f>
        <v>-1.5398351200755971</v>
      </c>
      <c r="P49" s="26">
        <f>P24/(P18*-1)</f>
        <v>3.3469816607233827</v>
      </c>
      <c r="Q49" s="26">
        <f>Q24/(Q18*-1)</f>
        <v>3.1400778210116731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G50" s="2" t="s">
        <v>56</v>
      </c>
      <c r="H50" s="28">
        <f>LN(H22/I22)</f>
        <v>-0.6020442665390513</v>
      </c>
      <c r="I50" s="28">
        <f>LN(I15/J15)</f>
        <v>-1.4910214761507385E-2</v>
      </c>
      <c r="J50" s="28">
        <f>LN(J22/K22)</f>
        <v>-5.836318973790329E-2</v>
      </c>
      <c r="M50" s="2" t="s">
        <v>121</v>
      </c>
      <c r="N50" s="32">
        <f ca="1">(H15-H16-N28-N25)/($B$6)</f>
        <v>3.4787375078474173E-3</v>
      </c>
      <c r="O50" s="32">
        <f ca="1">(I15-I16-O28-O25)/($B$6)</f>
        <v>2.3076181836996203E-2</v>
      </c>
      <c r="P50" s="32">
        <f ca="1">(J15-J16-P28-P25)/($B$6)</f>
        <v>0.13480121303431525</v>
      </c>
    </row>
    <row r="51" spans="1:26">
      <c r="A51" s="29" t="s">
        <v>57</v>
      </c>
      <c r="B51" s="30">
        <f>B23/B17</f>
        <v>1.4352985326633645</v>
      </c>
      <c r="C51" s="30">
        <f>C23/C17</f>
        <v>1.480725286973112</v>
      </c>
      <c r="D51" s="30">
        <f>D23/D17</f>
        <v>1.5929556537261043</v>
      </c>
      <c r="E51" s="30">
        <f>E23/E17</f>
        <v>1.6199502276421356</v>
      </c>
      <c r="G51" s="29" t="s">
        <v>58</v>
      </c>
      <c r="H51" s="63">
        <f>H13/H11</f>
        <v>0.18882346061170599</v>
      </c>
      <c r="I51" s="63">
        <f>I13/I11</f>
        <v>0.20458068042093591</v>
      </c>
      <c r="J51" s="63">
        <f>J13/J11</f>
        <v>0.20238818346304716</v>
      </c>
      <c r="K51" s="63">
        <f>K13/K11</f>
        <v>0.21075186770286064</v>
      </c>
      <c r="M51" s="2" t="s">
        <v>59</v>
      </c>
      <c r="N51" s="32">
        <f>(N11-N24-N25)/B16</f>
        <v>6.9194515981605934E-2</v>
      </c>
      <c r="O51" s="32">
        <f>(O11-O24-O25)/C16</f>
        <v>0.10920643062330919</v>
      </c>
      <c r="P51" s="32">
        <f>(P11-P24-P25)/D16</f>
        <v>2.9835999605588911E-2</v>
      </c>
      <c r="Q51" s="32">
        <f>(Q11-Q24-Q25)/E16</f>
        <v>7.9260743469789299E-2</v>
      </c>
    </row>
    <row r="52" spans="1:26">
      <c r="A52" s="29" t="s">
        <v>60</v>
      </c>
      <c r="B52" s="31">
        <f>H20/B16</f>
        <v>4.9181004038529513E-2</v>
      </c>
      <c r="C52" s="31">
        <f>I20/C16</f>
        <v>8.4773287545820863E-2</v>
      </c>
      <c r="D52" s="31">
        <f>J20/D16</f>
        <v>0.10378508060110382</v>
      </c>
      <c r="E52" s="31">
        <f>K20/E16</f>
        <v>0.11065975001329427</v>
      </c>
      <c r="F52" s="31"/>
      <c r="G52" s="29" t="s">
        <v>61</v>
      </c>
      <c r="H52" s="63">
        <f>H16/H11</f>
        <v>9.2241910764569571E-2</v>
      </c>
      <c r="I52" s="63">
        <f>I16/I11</f>
        <v>8.3072554966795623E-2</v>
      </c>
      <c r="J52" s="63">
        <f>J16/J11</f>
        <v>7.270978116704202E-2</v>
      </c>
      <c r="K52" s="63">
        <f>K16/K11</f>
        <v>7.0321974084015748E-2</v>
      </c>
      <c r="M52" s="6"/>
      <c r="N52" s="4">
        <f>N24+N18</f>
        <v>-68367</v>
      </c>
      <c r="O52" s="4">
        <f>O24+O18</f>
        <v>-311780</v>
      </c>
      <c r="P52" s="4">
        <f>P24+P18</f>
        <v>221142</v>
      </c>
      <c r="Q52" s="4">
        <f>Q24+Q18</f>
        <v>75900</v>
      </c>
      <c r="R52" s="4">
        <f>AVERAGE(N52:Q52)</f>
        <v>-20776.25</v>
      </c>
    </row>
    <row r="53" spans="1:26">
      <c r="A53" s="29" t="s">
        <v>62</v>
      </c>
      <c r="B53" s="31">
        <f>H20/B20</f>
        <v>0.10788212117429744</v>
      </c>
      <c r="C53" s="31">
        <f>I20/C20</f>
        <v>0.1745302419518418</v>
      </c>
      <c r="D53" s="31">
        <f>J20/D20</f>
        <v>0.2016093441615168</v>
      </c>
      <c r="E53" s="31">
        <f>K20/E20</f>
        <v>0.21631409592207573</v>
      </c>
      <c r="G53" s="29" t="s">
        <v>11</v>
      </c>
      <c r="H53" s="71">
        <f>H17/H11</f>
        <v>4.719875901140291E-3</v>
      </c>
      <c r="I53" s="71">
        <f>I17/I11</f>
        <v>4.0410445299204527E-3</v>
      </c>
      <c r="J53" s="71">
        <f>J17/J11</f>
        <v>3.0841499568291459E-3</v>
      </c>
      <c r="K53" s="71">
        <f>K17/K11</f>
        <v>1.7678180633030067E-3</v>
      </c>
      <c r="M53" s="6"/>
      <c r="N53" s="28">
        <f>LN(N52/O52)</f>
        <v>-1.5174075588157909</v>
      </c>
      <c r="O53" s="28" t="e">
        <f>LN(O52/P52)</f>
        <v>#NUM!</v>
      </c>
      <c r="P53" s="28">
        <f>LN(P52/Q52)</f>
        <v>1.0693883447162711</v>
      </c>
    </row>
    <row r="54" spans="1:26">
      <c r="A54" s="29" t="s">
        <v>63</v>
      </c>
      <c r="B54" s="30">
        <f>H11/B12</f>
        <v>2.6521976093490469</v>
      </c>
      <c r="C54" s="30">
        <f>I11/C12</f>
        <v>3.9357047780037075</v>
      </c>
      <c r="D54" s="30">
        <f>J11/D12</f>
        <v>4.51988661690085</v>
      </c>
      <c r="E54" s="30">
        <f>K11/E12</f>
        <v>3.4610128134331877</v>
      </c>
      <c r="G54" s="29" t="s">
        <v>64</v>
      </c>
      <c r="H54" s="63">
        <f>H25/H22</f>
        <v>1.6060544494108087</v>
      </c>
      <c r="I54" s="63">
        <f>I25/I22</f>
        <v>0.75396115740906322</v>
      </c>
      <c r="J54" s="63">
        <f>J25/J22</f>
        <v>0.83632798586547519</v>
      </c>
      <c r="K54" s="63">
        <f>K25/K22</f>
        <v>0.73631999680641913</v>
      </c>
      <c r="M54" s="6"/>
    </row>
    <row r="55" spans="1:26">
      <c r="A55" s="29" t="s">
        <v>65</v>
      </c>
      <c r="B55" s="31">
        <f>(B22-B20)/B16</f>
        <v>0.54412275636413121</v>
      </c>
      <c r="C55" s="31">
        <f>(C22-C20)/C16</f>
        <v>0.51427737337800528</v>
      </c>
      <c r="D55" s="31">
        <f>(D22-D20)/D16</f>
        <v>0.48521691277385587</v>
      </c>
      <c r="E55" s="31">
        <f>(E22-E20)/E16</f>
        <v>0.48843024056482215</v>
      </c>
      <c r="G55" s="29" t="s">
        <v>66</v>
      </c>
      <c r="H55" s="63">
        <f>H22/H11</f>
        <v>6.4219016407498303E-2</v>
      </c>
      <c r="I55" s="63">
        <f>I22/I11</f>
        <v>0.10442103882813858</v>
      </c>
      <c r="J55" s="63">
        <f>J22/J11</f>
        <v>0.11414051760746927</v>
      </c>
      <c r="K55" s="63">
        <f>K22/K11</f>
        <v>0.13212615944382738</v>
      </c>
      <c r="L55" s="31"/>
      <c r="M55" s="6"/>
    </row>
    <row r="56" spans="1:26">
      <c r="A56" s="29" t="s">
        <v>67</v>
      </c>
      <c r="B56" s="31">
        <f>(B22-B20)/B20</f>
        <v>1.1935729715843162</v>
      </c>
      <c r="C56" s="31">
        <f>(C22-C20)/C20</f>
        <v>1.0587881749602592</v>
      </c>
      <c r="D56" s="31">
        <f>(D22-D20)/D20</f>
        <v>0.94256576180153362</v>
      </c>
      <c r="E56" s="31">
        <f>(E22-E20)/E20</f>
        <v>0.95476761782028718</v>
      </c>
      <c r="G56" s="33" t="s">
        <v>68</v>
      </c>
      <c r="H56" s="34">
        <f>H13/B16</f>
        <v>0.12199917748154</v>
      </c>
      <c r="I56" s="34">
        <f>I13/C16</f>
        <v>0.14944996780565528</v>
      </c>
      <c r="J56" s="34">
        <f>J13/D16</f>
        <v>0.1674901330604435</v>
      </c>
      <c r="K56" s="34">
        <f>K13/E16</f>
        <v>0.16344650047245771</v>
      </c>
      <c r="M56" s="6"/>
    </row>
    <row r="57" spans="1:26">
      <c r="A57" s="29" t="s">
        <v>69</v>
      </c>
      <c r="B57" s="30">
        <f>H11/B16</f>
        <v>0.64610179840108672</v>
      </c>
      <c r="C57" s="30">
        <f>I11/C16</f>
        <v>0.7305184805239372</v>
      </c>
      <c r="D57" s="30">
        <f>J11/D16</f>
        <v>0.82756873545942233</v>
      </c>
      <c r="E57" s="30">
        <f>K11/E16</f>
        <v>0.77553998573764071</v>
      </c>
      <c r="G57" s="33" t="s">
        <v>70</v>
      </c>
      <c r="H57" s="35">
        <f ca="1">H25/$B$5</f>
        <v>0.11419249709996768</v>
      </c>
      <c r="I57" s="35">
        <f ca="1">I25/$B$5</f>
        <v>9.7879283228543723E-2</v>
      </c>
      <c r="J57" s="35">
        <f ca="1">J25/$B$5</f>
        <v>0.12234910403567965</v>
      </c>
      <c r="K57" s="35">
        <f ca="1">K25/$B$5</f>
        <v>0.11419249709996768</v>
      </c>
      <c r="M57" s="6"/>
    </row>
    <row r="58" spans="1:26">
      <c r="A58" s="29" t="s">
        <v>71</v>
      </c>
      <c r="B58" s="30">
        <f>B16/B20</f>
        <v>2.1935729715843162</v>
      </c>
      <c r="C58" s="30">
        <f>C16/C20</f>
        <v>2.0587881749602595</v>
      </c>
      <c r="D58" s="30">
        <f>D16/D20</f>
        <v>1.9425657618015337</v>
      </c>
      <c r="E58" s="30">
        <f>E16/E20</f>
        <v>1.9547676178202873</v>
      </c>
      <c r="G58" s="36" t="s">
        <v>72</v>
      </c>
      <c r="H58" s="37">
        <f ca="1">H22/$B$7/1000</f>
        <v>2.1792536369386464</v>
      </c>
      <c r="I58" s="37">
        <f ca="1">I22/$B$7/1000</f>
        <v>3.9789848197343454</v>
      </c>
      <c r="J58" s="37">
        <f ca="1">J22/$B$7/1000</f>
        <v>4.4838867805186595</v>
      </c>
      <c r="K58" s="37">
        <f ca="1">K22/$B$7/1000</f>
        <v>4.7533681214421248</v>
      </c>
      <c r="M58" s="6"/>
    </row>
    <row r="59" spans="1:26">
      <c r="A59" s="6"/>
      <c r="G59" s="36" t="s">
        <v>73</v>
      </c>
      <c r="H59" s="37">
        <f ca="1">B20/$B$7/1000</f>
        <v>23.943690702087284</v>
      </c>
      <c r="I59" s="37">
        <f ca="1">C20/$B$7/1000</f>
        <v>25.336195445920303</v>
      </c>
      <c r="J59" s="37">
        <f ca="1">D20/$B$7/1000</f>
        <v>24.436274509803919</v>
      </c>
      <c r="K59" s="37">
        <f ca="1">E20/$B$7/1000</f>
        <v>23.730850727387729</v>
      </c>
      <c r="L59" s="65"/>
      <c r="M59" s="6"/>
    </row>
    <row r="60" spans="1:26">
      <c r="A60" s="6"/>
      <c r="G60" s="33" t="s">
        <v>74</v>
      </c>
      <c r="H60" s="38">
        <f ca="1">SQRT(22.5*H58*H59)</f>
        <v>34.264207834062056</v>
      </c>
      <c r="I60" s="38">
        <f ca="1">SQRT(22.5*I58*I59)</f>
        <v>47.626437868642192</v>
      </c>
      <c r="J60" s="38">
        <f ca="1">SQRT(22.5*J58*J59)</f>
        <v>49.651923279887001</v>
      </c>
      <c r="K60" s="38">
        <f ca="1">SQRT(22.5*K58*K59)</f>
        <v>50.378894987891464</v>
      </c>
      <c r="M60" s="6"/>
    </row>
    <row r="61" spans="1:26">
      <c r="A61" s="6"/>
      <c r="G61" s="33" t="s">
        <v>75</v>
      </c>
      <c r="H61" s="39">
        <f ca="1">H58-(B20*0.08/1000/$B$7)</f>
        <v>0.26375838077166347</v>
      </c>
      <c r="I61" s="39">
        <f ca="1">I58-(C20*0.08/1000/$B$7)</f>
        <v>1.9520891840607213</v>
      </c>
      <c r="J61" s="39">
        <f ca="1">J58-(D20*0.08/1000/$B$7)</f>
        <v>2.5289848197343456</v>
      </c>
      <c r="K61" s="39">
        <f ca="1">K58-(E20*0.08/1000/$B$7)</f>
        <v>2.8549000632511063</v>
      </c>
      <c r="M61" s="6"/>
    </row>
    <row r="62" spans="1:26">
      <c r="A62" s="6"/>
      <c r="G62" s="40" t="s">
        <v>76</v>
      </c>
      <c r="H62" s="41">
        <f ca="1">H25/$B$7/1000</f>
        <v>3.5</v>
      </c>
      <c r="I62" s="41">
        <f ca="1">I25/$B$7/1000</f>
        <v>3</v>
      </c>
      <c r="J62" s="41">
        <f ca="1">J25/$B$7/1000</f>
        <v>3.75</v>
      </c>
      <c r="K62" s="41">
        <f ca="1">K25/$B$7/1000</f>
        <v>3.5</v>
      </c>
      <c r="M62" s="6"/>
    </row>
    <row r="63" spans="1:26">
      <c r="A63" s="2"/>
      <c r="G63" s="6"/>
      <c r="M63" s="6"/>
    </row>
    <row r="64" spans="1:26">
      <c r="A64" s="6"/>
      <c r="G64" s="2" t="s">
        <v>85</v>
      </c>
      <c r="H64" s="47">
        <f ca="1">SUM(H62:J62)</f>
        <v>10.25</v>
      </c>
      <c r="M64" s="6"/>
    </row>
    <row r="65" spans="1:13">
      <c r="A65" s="6"/>
      <c r="G65" s="2" t="s">
        <v>105</v>
      </c>
      <c r="H65" s="6">
        <f>I51/H51</f>
        <v>1.0834494811088802</v>
      </c>
      <c r="I65" s="6">
        <f>J51/I51</f>
        <v>0.98928297162089018</v>
      </c>
      <c r="J65" s="6">
        <f>K51/J51</f>
        <v>1.0413249632300818</v>
      </c>
      <c r="M65" s="6"/>
    </row>
    <row r="66" spans="1:13">
      <c r="A66" s="6"/>
      <c r="G66" s="2" t="s">
        <v>106</v>
      </c>
      <c r="H66" s="6">
        <f>H11/I11</f>
        <v>0.89055317658551236</v>
      </c>
      <c r="I66" s="6">
        <f>I11/J11</f>
        <v>0.96999494830566979</v>
      </c>
      <c r="J66" s="6">
        <f>J11/K11</f>
        <v>1.0919485161448557</v>
      </c>
      <c r="M66" s="6"/>
    </row>
    <row r="67" spans="1:13">
      <c r="A67" s="6"/>
      <c r="G67" s="2" t="s">
        <v>107</v>
      </c>
      <c r="H67" s="6">
        <f>(N13/152738)/(O13/140619)</f>
        <v>-0.30610355910094883</v>
      </c>
      <c r="I67" s="6">
        <f>(O13/I11)/(P13/J11)</f>
        <v>36.028539196922068</v>
      </c>
      <c r="J67" s="6">
        <f>(P13/J11)/(Q13/K11)</f>
        <v>4.1221353543897638E-2</v>
      </c>
      <c r="M67" s="6"/>
    </row>
    <row r="68" spans="1:13">
      <c r="A68" s="6"/>
      <c r="G68" s="2" t="s">
        <v>108</v>
      </c>
      <c r="H68" s="6">
        <f t="shared" ref="H68:J69" si="6">H52/I52</f>
        <v>1.1103776789029658</v>
      </c>
      <c r="I68" s="6">
        <f t="shared" si="6"/>
        <v>1.142522417664088</v>
      </c>
      <c r="J68" s="6">
        <f t="shared" si="6"/>
        <v>1.0339553477291961</v>
      </c>
      <c r="M68" s="6"/>
    </row>
    <row r="69" spans="1:13">
      <c r="A69" s="6"/>
      <c r="G69" s="2" t="s">
        <v>109</v>
      </c>
      <c r="H69" s="6">
        <f t="shared" si="6"/>
        <v>1.1679841353377021</v>
      </c>
      <c r="I69" s="6">
        <f t="shared" si="6"/>
        <v>1.3102620127054725</v>
      </c>
      <c r="J69" s="6">
        <f t="shared" si="6"/>
        <v>1.7446082381728203</v>
      </c>
      <c r="M69" s="6"/>
    </row>
    <row r="70" spans="1:13">
      <c r="A70" s="6"/>
      <c r="G70" s="2" t="s">
        <v>110</v>
      </c>
      <c r="H70" s="6">
        <f>B58/C58</f>
        <v>1.0654680254449482</v>
      </c>
      <c r="I70" s="6">
        <f>C58/D58</f>
        <v>1.0598293326507213</v>
      </c>
      <c r="J70" s="6">
        <f>D58/E58</f>
        <v>0.99375789945182358</v>
      </c>
      <c r="M70" s="6"/>
    </row>
    <row r="71" spans="1:13">
      <c r="A71" s="6"/>
      <c r="G71" s="2" t="s">
        <v>111</v>
      </c>
      <c r="H71" s="6">
        <f>((1-B11)/B16)/((1-C11)/C16)</f>
        <v>0.87044288281750271</v>
      </c>
      <c r="I71" s="6">
        <f>((1-C11)/C16)/((1-D11)/D16)</f>
        <v>0.98280366417773635</v>
      </c>
      <c r="J71" s="6">
        <f>((1-D11)/D16)/((1-E11)/E16)</f>
        <v>1.0385729352357651</v>
      </c>
      <c r="M71" s="6"/>
    </row>
    <row r="72" spans="1:13">
      <c r="A72" s="6"/>
      <c r="G72" s="2" t="s">
        <v>112</v>
      </c>
      <c r="H72" s="6">
        <f>((H13-H16-H17)-N24)/B16</f>
        <v>6.0780862656879139E-2</v>
      </c>
      <c r="I72" s="6">
        <f>((I13-I16-I17)-O24)/C16</f>
        <v>0.14311416927071019</v>
      </c>
      <c r="J72" s="6">
        <f>((J13-J16-J17)-P24)/D16</f>
        <v>-2.8847973180045998E-4</v>
      </c>
      <c r="K72" s="6">
        <f>((K13-K16-K17)-Q24)/E16</f>
        <v>6.9575701630354009E-2</v>
      </c>
      <c r="M72" s="6"/>
    </row>
    <row r="73" spans="1:13">
      <c r="A73" s="6"/>
      <c r="G73" s="2" t="s">
        <v>113</v>
      </c>
      <c r="H73" s="6">
        <f>-4.84 + 0.92 *H67  + 0.528 *H65 + 0.404 *H71 + 0.892 *H66 + 0.115 *H69 - 0.172 *H68- 0.327 *H70 + 4.697 *H72</f>
        <v>-3.5231087078034462</v>
      </c>
      <c r="I73" s="6">
        <f>-4.84 + 0.92 *I67  + 0.528 *I65 + 0.404 *I71 + 0.892 *I66 + 0.115 *I69 - 0.172 *I68- 0.327 *I70 + 4.697 *I72</f>
        <v>30.370694981311242</v>
      </c>
      <c r="J73" s="6">
        <f>-4.84 + 0.92 *J67  + 0.528 *J65 + 0.404 *J71 + 0.892 *J66 + 0.115 *J69 - 0.172 *J68- 0.327 *J70 + 4.697 *J72</f>
        <v>-3.162179426758231</v>
      </c>
      <c r="M73" s="6"/>
    </row>
    <row r="74" spans="1:13">
      <c r="A74" s="6"/>
      <c r="G74" s="6"/>
      <c r="H74" s="6" t="str">
        <f>IF(H73&gt;-2.22,"CARE","Good")</f>
        <v>Good</v>
      </c>
      <c r="I74" s="6" t="str">
        <f>IF(I73&gt;-2.22,"CARE","Good")</f>
        <v>CARE</v>
      </c>
      <c r="J74" s="6" t="str">
        <f>IF(J73&gt;-2.22,"CARE","Good")</f>
        <v>Good</v>
      </c>
      <c r="M74" s="6"/>
    </row>
    <row r="75" spans="1:13">
      <c r="A75" s="6"/>
      <c r="G75" s="2" t="s">
        <v>86</v>
      </c>
      <c r="H75" s="6">
        <f ca="1">H59*$B$7/$B$5</f>
        <v>7.8119709458874999E-4</v>
      </c>
      <c r="I75" s="6">
        <f ca="1">I59*$B$7/$B$5</f>
        <v>8.2662954999499101E-4</v>
      </c>
      <c r="J75" s="6">
        <f ca="1">J59*$B$7/$B$5</f>
        <v>7.9726834459851374E-4</v>
      </c>
      <c r="K75" s="6">
        <f ca="1">K59*$B$7/$B$5</f>
        <v>7.7425288653342546E-4</v>
      </c>
      <c r="M75" s="6"/>
    </row>
    <row r="76" spans="1:13">
      <c r="A76" s="6"/>
      <c r="G76" s="2" t="s">
        <v>87</v>
      </c>
      <c r="M76" s="6"/>
    </row>
    <row r="77" spans="1:13">
      <c r="A77" s="6"/>
      <c r="G77" s="2" t="s">
        <v>88</v>
      </c>
      <c r="M77" s="6"/>
    </row>
    <row r="78" spans="1:13">
      <c r="A78" s="6"/>
      <c r="G78" s="2" t="s">
        <v>89</v>
      </c>
      <c r="H78" s="74">
        <f ca="1">(H15-H16)/$B$6</f>
        <v>5.6401474930861235E-2</v>
      </c>
      <c r="I78" s="74">
        <f ca="1">(I15-I16)/$B$6</f>
        <v>8.0857091142583506E-2</v>
      </c>
      <c r="J78" s="74">
        <f ca="1">(J15-J16)/$B$6</f>
        <v>8.8144887387355014E-2</v>
      </c>
      <c r="K78" s="74">
        <f ca="1">(K15-K16)/$B$6</f>
        <v>9.0541668073964326E-2</v>
      </c>
      <c r="M78" s="6"/>
    </row>
    <row r="79" spans="1:13">
      <c r="A79" s="6"/>
      <c r="G79" s="2" t="s">
        <v>122</v>
      </c>
      <c r="H79" s="74">
        <f ca="1">$B$6/H20</f>
        <v>22.739224266168772</v>
      </c>
      <c r="I79" s="74">
        <f ca="1">$B$6/(I15-I16)</f>
        <v>12.367499076074832</v>
      </c>
      <c r="J79" s="74">
        <f ca="1">$B$6/(J15-J16)</f>
        <v>11.344957485798057</v>
      </c>
      <c r="K79" s="74">
        <f ca="1">$B$6/(K15-K16)</f>
        <v>11.044638576606417</v>
      </c>
      <c r="M79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zoomScaleNormal="100" workbookViewId="0"/>
  </sheetViews>
  <sheetFormatPr defaultRowHeight="15"/>
  <cols>
    <col min="1" max="29" width="15.140625"/>
    <col min="30" max="1025" width="14.42578125"/>
  </cols>
  <sheetData>
    <row r="1" spans="1:20">
      <c r="A1" s="2"/>
    </row>
    <row r="2" spans="1:20">
      <c r="A2" s="2"/>
    </row>
    <row r="3" spans="1:20">
      <c r="A3" s="2"/>
    </row>
    <row r="4" spans="1:20">
      <c r="A4" s="2"/>
    </row>
    <row r="5" spans="1:20">
      <c r="A5" s="2"/>
      <c r="B5" s="48"/>
      <c r="C5" s="48">
        <v>4287</v>
      </c>
    </row>
    <row r="6" spans="1:20">
      <c r="A6" s="2"/>
      <c r="B6" s="4"/>
      <c r="C6" s="4">
        <f>C5*1000+(C22-C20)-Q23</f>
        <v>4450786</v>
      </c>
    </row>
    <row r="7" spans="1:20">
      <c r="A7" s="2"/>
      <c r="B7" s="2"/>
      <c r="C7" s="2">
        <v>100</v>
      </c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9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9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9">
        <v>41274</v>
      </c>
    </row>
    <row r="11" spans="1:20">
      <c r="A11" s="10" t="s">
        <v>6</v>
      </c>
      <c r="B11" s="11">
        <v>650893</v>
      </c>
      <c r="C11" s="11">
        <v>794860</v>
      </c>
      <c r="D11" s="11">
        <v>864537</v>
      </c>
      <c r="E11" s="11">
        <v>599757</v>
      </c>
      <c r="F11" s="12">
        <v>554660</v>
      </c>
      <c r="H11" s="10" t="s">
        <v>7</v>
      </c>
      <c r="I11" s="11">
        <v>1256899</v>
      </c>
      <c r="J11" s="11">
        <v>1642559</v>
      </c>
      <c r="K11" s="11">
        <v>1719589</v>
      </c>
      <c r="L11" s="11">
        <v>1338359</v>
      </c>
      <c r="M11" s="12">
        <v>1370639</v>
      </c>
      <c r="O11" s="10" t="s">
        <v>8</v>
      </c>
      <c r="P11" s="11">
        <v>529328</v>
      </c>
      <c r="Q11" s="11">
        <v>646626</v>
      </c>
      <c r="R11" s="11">
        <v>685187</v>
      </c>
      <c r="S11" s="11">
        <v>197129</v>
      </c>
      <c r="T11" s="12">
        <v>387421</v>
      </c>
    </row>
    <row r="12" spans="1:20">
      <c r="A12" s="10" t="s">
        <v>9</v>
      </c>
      <c r="B12" s="11">
        <v>332380</v>
      </c>
      <c r="C12" s="11">
        <v>355905</v>
      </c>
      <c r="D12" s="11">
        <v>382437</v>
      </c>
      <c r="E12" s="11">
        <v>405668</v>
      </c>
      <c r="F12" s="12">
        <v>304680</v>
      </c>
      <c r="H12" s="10" t="s">
        <v>10</v>
      </c>
      <c r="I12" s="11">
        <v>705334</v>
      </c>
      <c r="J12" s="11">
        <v>918982</v>
      </c>
      <c r="K12" s="11">
        <v>988989</v>
      </c>
      <c r="L12" s="11">
        <v>796090</v>
      </c>
      <c r="M12" s="12">
        <v>833302</v>
      </c>
      <c r="O12" s="10" t="s">
        <v>11</v>
      </c>
      <c r="P12" s="11">
        <v>166914</v>
      </c>
      <c r="Q12" s="11">
        <v>173776</v>
      </c>
      <c r="R12" s="11">
        <v>175432</v>
      </c>
      <c r="S12" s="11">
        <v>180810</v>
      </c>
      <c r="T12" s="12">
        <v>182668</v>
      </c>
    </row>
    <row r="13" spans="1:20">
      <c r="A13" s="10" t="s">
        <v>12</v>
      </c>
      <c r="B13" s="11">
        <v>297670</v>
      </c>
      <c r="C13" s="11">
        <v>265546</v>
      </c>
      <c r="D13" s="11">
        <v>360135</v>
      </c>
      <c r="E13" s="11">
        <v>364197</v>
      </c>
      <c r="F13" s="12">
        <v>347365</v>
      </c>
      <c r="H13" s="10" t="s">
        <v>13</v>
      </c>
      <c r="I13" s="11">
        <v>551565</v>
      </c>
      <c r="J13" s="11">
        <v>723577</v>
      </c>
      <c r="K13" s="11">
        <v>730600</v>
      </c>
      <c r="L13" s="11">
        <v>542269</v>
      </c>
      <c r="M13" s="12">
        <v>537337</v>
      </c>
      <c r="O13" s="10" t="s">
        <v>14</v>
      </c>
      <c r="P13" s="11">
        <v>45825</v>
      </c>
      <c r="Q13" s="11">
        <v>43122</v>
      </c>
      <c r="R13" s="11">
        <v>66850</v>
      </c>
      <c r="S13" s="11">
        <v>330188</v>
      </c>
      <c r="T13" s="12">
        <v>175485</v>
      </c>
    </row>
    <row r="14" spans="1:20">
      <c r="A14" s="10" t="s">
        <v>15</v>
      </c>
      <c r="B14" s="11">
        <v>2501969</v>
      </c>
      <c r="C14" s="11">
        <v>2449710</v>
      </c>
      <c r="D14" s="11">
        <v>2452778</v>
      </c>
      <c r="E14" s="11">
        <v>2582754</v>
      </c>
      <c r="F14" s="12">
        <v>3016181</v>
      </c>
      <c r="H14" s="10" t="s">
        <v>16</v>
      </c>
      <c r="I14" s="11">
        <v>51278</v>
      </c>
      <c r="J14" s="11">
        <v>25602</v>
      </c>
      <c r="K14" s="11">
        <v>42344</v>
      </c>
      <c r="L14" s="11">
        <v>63767</v>
      </c>
      <c r="M14" s="12">
        <v>62009</v>
      </c>
      <c r="O14" s="10" t="s">
        <v>9</v>
      </c>
      <c r="P14" s="11">
        <v>23525</v>
      </c>
      <c r="Q14" s="11">
        <v>26532</v>
      </c>
      <c r="R14" s="11">
        <v>23232</v>
      </c>
      <c r="S14" s="13">
        <v>-136341</v>
      </c>
      <c r="T14" s="12">
        <v>6126</v>
      </c>
    </row>
    <row r="15" spans="1:20">
      <c r="A15" s="10" t="s">
        <v>17</v>
      </c>
      <c r="B15" s="11">
        <v>33523</v>
      </c>
      <c r="C15" s="11">
        <v>28330</v>
      </c>
      <c r="D15" s="11">
        <v>35429</v>
      </c>
      <c r="E15" s="11">
        <v>49859</v>
      </c>
      <c r="F15" s="12">
        <v>28979</v>
      </c>
      <c r="H15" s="10" t="s">
        <v>18</v>
      </c>
      <c r="I15" s="11">
        <v>602843</v>
      </c>
      <c r="J15" s="11">
        <v>749179</v>
      </c>
      <c r="K15" s="11">
        <v>772944</v>
      </c>
      <c r="L15" s="11">
        <v>606036</v>
      </c>
      <c r="M15" s="12">
        <v>599346</v>
      </c>
      <c r="O15" s="10" t="s">
        <v>19</v>
      </c>
      <c r="P15" s="18" t="s">
        <v>84</v>
      </c>
      <c r="Q15" s="18" t="s">
        <v>84</v>
      </c>
      <c r="R15" s="18" t="s">
        <v>84</v>
      </c>
      <c r="S15" s="18" t="s">
        <v>84</v>
      </c>
      <c r="T15" s="14">
        <v>-31984</v>
      </c>
    </row>
    <row r="16" spans="1:20">
      <c r="A16" s="10" t="s">
        <v>20</v>
      </c>
      <c r="B16" s="11">
        <v>3816435</v>
      </c>
      <c r="C16" s="11">
        <v>3894351</v>
      </c>
      <c r="D16" s="11">
        <v>4095316</v>
      </c>
      <c r="E16" s="11">
        <v>4002235</v>
      </c>
      <c r="F16" s="12">
        <v>4251865</v>
      </c>
      <c r="H16" s="10" t="s">
        <v>21</v>
      </c>
      <c r="I16" s="11">
        <v>64968</v>
      </c>
      <c r="J16" s="11">
        <v>65178</v>
      </c>
      <c r="K16" s="11">
        <v>50385</v>
      </c>
      <c r="L16" s="11">
        <v>41941</v>
      </c>
      <c r="M16" s="12">
        <v>43614</v>
      </c>
      <c r="O16" s="10" t="s">
        <v>22</v>
      </c>
      <c r="P16" s="13">
        <v>-188389</v>
      </c>
      <c r="Q16" s="13">
        <v>-46428</v>
      </c>
      <c r="R16" s="13">
        <v>-54361</v>
      </c>
      <c r="S16" s="13">
        <v>-63739</v>
      </c>
      <c r="T16" s="14">
        <v>-76642</v>
      </c>
    </row>
    <row r="17" spans="1:29">
      <c r="A17" s="10" t="s">
        <v>23</v>
      </c>
      <c r="B17" s="11">
        <v>277839</v>
      </c>
      <c r="C17" s="11">
        <v>503178</v>
      </c>
      <c r="D17" s="11">
        <v>631350</v>
      </c>
      <c r="E17" s="11">
        <v>559990</v>
      </c>
      <c r="F17" s="12">
        <v>443589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>
        <v>0</v>
      </c>
      <c r="O17" s="10" t="s">
        <v>24</v>
      </c>
      <c r="P17" s="18" t="s">
        <v>84</v>
      </c>
      <c r="Q17" s="18" t="s">
        <v>84</v>
      </c>
      <c r="R17" s="18" t="s">
        <v>84</v>
      </c>
      <c r="S17" s="18" t="s">
        <v>84</v>
      </c>
      <c r="T17" s="45">
        <v>0</v>
      </c>
    </row>
    <row r="18" spans="1:29">
      <c r="A18" s="10" t="s">
        <v>25</v>
      </c>
      <c r="B18" s="11">
        <v>157188</v>
      </c>
      <c r="C18" s="11">
        <v>96748</v>
      </c>
      <c r="D18" s="11">
        <v>187392</v>
      </c>
      <c r="E18" s="11">
        <v>506357</v>
      </c>
      <c r="F18" s="12">
        <v>814129</v>
      </c>
      <c r="H18" s="10" t="s">
        <v>26</v>
      </c>
      <c r="I18" s="11">
        <v>28147</v>
      </c>
      <c r="J18" s="11">
        <v>65743</v>
      </c>
      <c r="K18" s="11">
        <v>56080</v>
      </c>
      <c r="L18" s="11">
        <v>354864</v>
      </c>
      <c r="M18" s="12">
        <v>160159</v>
      </c>
      <c r="O18" s="10" t="s">
        <v>27</v>
      </c>
      <c r="P18" s="13">
        <v>-237713</v>
      </c>
      <c r="Q18" s="13">
        <v>-169872</v>
      </c>
      <c r="R18" s="13">
        <v>-47494</v>
      </c>
      <c r="S18" s="13">
        <v>-41361</v>
      </c>
      <c r="T18" s="14">
        <v>-44268</v>
      </c>
    </row>
    <row r="19" spans="1:29">
      <c r="A19" s="10" t="s">
        <v>28</v>
      </c>
      <c r="B19" s="11">
        <v>56894</v>
      </c>
      <c r="C19" s="11">
        <v>54398</v>
      </c>
      <c r="D19" s="11">
        <v>47709</v>
      </c>
      <c r="E19" s="11">
        <v>43215</v>
      </c>
      <c r="F19" s="12">
        <v>42944</v>
      </c>
      <c r="H19" s="10" t="s">
        <v>29</v>
      </c>
      <c r="I19" s="11">
        <v>93115</v>
      </c>
      <c r="J19" s="11">
        <v>130921</v>
      </c>
      <c r="K19" s="11">
        <v>106465</v>
      </c>
      <c r="L19" s="11">
        <v>396805</v>
      </c>
      <c r="M19" s="12">
        <v>203773</v>
      </c>
      <c r="O19" s="10" t="s">
        <v>30</v>
      </c>
      <c r="P19" s="11">
        <v>36127</v>
      </c>
      <c r="Q19" s="11">
        <v>15542</v>
      </c>
      <c r="R19" s="11">
        <v>45374</v>
      </c>
      <c r="S19" s="11">
        <v>42765</v>
      </c>
      <c r="T19" s="12">
        <v>14912</v>
      </c>
    </row>
    <row r="20" spans="1:29">
      <c r="A20" s="10" t="s">
        <v>31</v>
      </c>
      <c r="B20" s="11">
        <v>3324514</v>
      </c>
      <c r="C20" s="11">
        <v>3240027</v>
      </c>
      <c r="D20" s="11">
        <v>3228865</v>
      </c>
      <c r="E20" s="11">
        <v>2892673</v>
      </c>
      <c r="F20" s="12">
        <v>2951203</v>
      </c>
      <c r="H20" s="10" t="s">
        <v>32</v>
      </c>
      <c r="I20" s="11">
        <v>509728</v>
      </c>
      <c r="J20" s="11">
        <v>618258</v>
      </c>
      <c r="K20" s="11">
        <v>666479</v>
      </c>
      <c r="L20" s="11">
        <v>209231</v>
      </c>
      <c r="M20" s="12">
        <v>395573</v>
      </c>
      <c r="O20" s="10" t="s">
        <v>33</v>
      </c>
      <c r="P20" s="13">
        <v>-25303</v>
      </c>
      <c r="Q20" s="13">
        <v>-231903</v>
      </c>
      <c r="R20" s="13">
        <v>-308453</v>
      </c>
      <c r="S20" s="13">
        <v>-204202</v>
      </c>
      <c r="T20" s="14">
        <v>-371844</v>
      </c>
    </row>
    <row r="21" spans="1:29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1">
        <v>18303</v>
      </c>
      <c r="J21" s="11">
        <v>18120</v>
      </c>
      <c r="K21" s="11">
        <v>21051</v>
      </c>
      <c r="L21" s="11">
        <v>17140</v>
      </c>
      <c r="M21" s="12">
        <v>8152</v>
      </c>
      <c r="O21" s="10" t="s">
        <v>36</v>
      </c>
      <c r="P21" s="13">
        <v>-450951</v>
      </c>
      <c r="Q21" s="13">
        <v>-530355</v>
      </c>
      <c r="R21" s="13">
        <v>-314387</v>
      </c>
      <c r="S21" s="13">
        <v>-275986</v>
      </c>
      <c r="T21" s="14">
        <v>-260615</v>
      </c>
    </row>
    <row r="22" spans="1:29">
      <c r="A22" s="10" t="s">
        <v>37</v>
      </c>
      <c r="B22" s="11">
        <v>3816435</v>
      </c>
      <c r="C22" s="11">
        <v>3894351</v>
      </c>
      <c r="D22" s="11">
        <v>4095316</v>
      </c>
      <c r="E22" s="11">
        <v>4002235</v>
      </c>
      <c r="F22" s="12">
        <v>4251865</v>
      </c>
      <c r="H22" s="10" t="s">
        <v>8</v>
      </c>
      <c r="I22" s="11">
        <v>491425</v>
      </c>
      <c r="J22" s="11">
        <v>600138</v>
      </c>
      <c r="K22" s="11">
        <v>645428</v>
      </c>
      <c r="L22" s="11">
        <v>192091</v>
      </c>
      <c r="M22" s="12">
        <v>387421</v>
      </c>
      <c r="O22" s="10" t="s">
        <v>38</v>
      </c>
      <c r="P22" s="11">
        <v>490538</v>
      </c>
      <c r="Q22" s="11">
        <v>563498</v>
      </c>
      <c r="R22" s="11">
        <v>292118</v>
      </c>
      <c r="S22" s="11">
        <v>285017</v>
      </c>
      <c r="T22" s="12">
        <v>303758</v>
      </c>
    </row>
    <row r="23" spans="1:29">
      <c r="H23" s="10" t="s">
        <v>39</v>
      </c>
      <c r="I23" s="11">
        <v>1200971</v>
      </c>
      <c r="J23" s="11">
        <v>1127476</v>
      </c>
      <c r="K23" s="11">
        <v>998848</v>
      </c>
      <c r="L23" s="11">
        <v>1068557</v>
      </c>
      <c r="M23" s="12">
        <v>922936</v>
      </c>
      <c r="O23" s="10" t="s">
        <v>40</v>
      </c>
      <c r="P23" s="11">
        <v>389901</v>
      </c>
      <c r="Q23" s="11">
        <v>490538</v>
      </c>
      <c r="R23" s="11">
        <v>563498</v>
      </c>
      <c r="S23" s="11">
        <v>314280</v>
      </c>
      <c r="T23" s="12">
        <v>285017</v>
      </c>
    </row>
    <row r="24" spans="1:29">
      <c r="H24" s="10" t="s">
        <v>41</v>
      </c>
      <c r="I24" s="18" t="s">
        <v>84</v>
      </c>
      <c r="J24" s="18" t="s">
        <v>84</v>
      </c>
      <c r="K24" s="18" t="s">
        <v>84</v>
      </c>
      <c r="L24" s="18" t="s">
        <v>84</v>
      </c>
      <c r="M24" s="45">
        <v>0</v>
      </c>
      <c r="O24" s="2" t="s">
        <v>42</v>
      </c>
      <c r="P24" s="12">
        <f>SUM(P11:P17)</f>
        <v>577203</v>
      </c>
      <c r="Q24" s="12">
        <f>SUM(Q11:Q17)</f>
        <v>843628</v>
      </c>
      <c r="R24" s="12">
        <f>SUM(R11:R17)</f>
        <v>896340</v>
      </c>
      <c r="S24" s="12">
        <f>SUM(S11:S17)</f>
        <v>508047</v>
      </c>
      <c r="T24" s="12">
        <f>SUM(T11:T17)</f>
        <v>643074</v>
      </c>
    </row>
    <row r="25" spans="1:29">
      <c r="H25" s="10" t="s">
        <v>43</v>
      </c>
      <c r="I25" s="18" t="s">
        <v>84</v>
      </c>
      <c r="J25" s="18" t="s">
        <v>84</v>
      </c>
      <c r="K25" s="11">
        <v>315000</v>
      </c>
      <c r="L25" s="11">
        <v>260000</v>
      </c>
      <c r="M25" s="12">
        <v>240000</v>
      </c>
      <c r="O25" s="2" t="s">
        <v>44</v>
      </c>
      <c r="P25" s="12">
        <f>P18+P19</f>
        <v>-201586</v>
      </c>
      <c r="Q25" s="12">
        <f>Q18+Q19</f>
        <v>-154330</v>
      </c>
      <c r="R25" s="12">
        <f>R18+R19</f>
        <v>-2120</v>
      </c>
      <c r="S25" s="12">
        <f>S18+S19</f>
        <v>1404</v>
      </c>
      <c r="T25" s="12">
        <f>T18+T19</f>
        <v>-29356</v>
      </c>
    </row>
    <row r="26" spans="1:29">
      <c r="B26" s="28"/>
      <c r="C26" s="28">
        <f>J20/C22</f>
        <v>0.15875764665280556</v>
      </c>
      <c r="D26" s="28">
        <f>K20/D22</f>
        <v>0.16274177621458272</v>
      </c>
      <c r="E26" s="28">
        <f>L20/E22</f>
        <v>5.2278539366129174E-2</v>
      </c>
      <c r="F26" s="28">
        <f>M20/F22</f>
        <v>9.303517397659615E-2</v>
      </c>
      <c r="H26" s="10" t="s">
        <v>45</v>
      </c>
      <c r="I26" s="11">
        <v>451800</v>
      </c>
      <c r="J26" s="11">
        <v>526643</v>
      </c>
      <c r="K26" s="11">
        <v>201800</v>
      </c>
      <c r="L26" s="11">
        <v>1800</v>
      </c>
      <c r="M26" s="12">
        <v>1800</v>
      </c>
      <c r="O26" s="2" t="s">
        <v>46</v>
      </c>
      <c r="P26" s="12">
        <f>P20+P21</f>
        <v>-476254</v>
      </c>
      <c r="Q26" s="12">
        <f>Q20+Q21</f>
        <v>-762258</v>
      </c>
      <c r="R26" s="12">
        <f>R20+R21</f>
        <v>-622840</v>
      </c>
      <c r="S26" s="12">
        <f>S20+S21</f>
        <v>-480188</v>
      </c>
      <c r="T26" s="12">
        <f>T20+T21</f>
        <v>-632459</v>
      </c>
    </row>
    <row r="27" spans="1:29">
      <c r="H27" s="10" t="s">
        <v>47</v>
      </c>
      <c r="I27" s="11">
        <v>1240596</v>
      </c>
      <c r="J27" s="11">
        <v>1200971</v>
      </c>
      <c r="K27" s="11">
        <v>1127476</v>
      </c>
      <c r="L27" s="11">
        <v>998848</v>
      </c>
      <c r="M27" s="12">
        <v>1068557</v>
      </c>
      <c r="O27" s="2" t="s">
        <v>48</v>
      </c>
      <c r="P27" s="12">
        <f>P24+P25+P26</f>
        <v>-100637</v>
      </c>
      <c r="Q27" s="12">
        <f>Q24+Q25+Q26</f>
        <v>-72960</v>
      </c>
      <c r="R27" s="12">
        <f>R24+R25+R26</f>
        <v>271380</v>
      </c>
      <c r="S27" s="12">
        <f>S24+S25+S26</f>
        <v>29263</v>
      </c>
      <c r="T27" s="12">
        <f>T24+T25+T26</f>
        <v>-18741</v>
      </c>
    </row>
    <row r="28" spans="1:29">
      <c r="O28" s="2"/>
      <c r="P28" s="12"/>
      <c r="Q28" s="12"/>
      <c r="R28" s="12"/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>
        <v>42369</v>
      </c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0.17055000281676486</v>
      </c>
      <c r="C30" s="24">
        <f t="shared" si="0"/>
        <v>0.20410589595031367</v>
      </c>
      <c r="D30" s="24">
        <f t="shared" si="0"/>
        <v>0.21110385621036326</v>
      </c>
      <c r="E30" s="24">
        <f t="shared" si="0"/>
        <v>0.14985551822918944</v>
      </c>
      <c r="F30" s="24">
        <f t="shared" si="0"/>
        <v>0.13045099033012572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0.42113805484768468</v>
      </c>
      <c r="Q30" s="26">
        <f t="shared" ref="Q30:Q42" si="3">Q11/J$11</f>
        <v>0.39366987730729913</v>
      </c>
      <c r="R30" s="26">
        <f t="shared" ref="R30:R42" si="4">R11/K$11</f>
        <v>0.39845974823053648</v>
      </c>
      <c r="S30" s="26">
        <f t="shared" ref="S30:S42" si="5">S11/L$11</f>
        <v>0.14729157124508446</v>
      </c>
      <c r="T30" s="26">
        <f t="shared" ref="T30:T42" si="6">T11/M$11</f>
        <v>0.28265721316845649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8.7091749237180771E-2</v>
      </c>
      <c r="C31" s="24">
        <f t="shared" si="0"/>
        <v>9.1390067305181275E-2</v>
      </c>
      <c r="D31" s="24">
        <f t="shared" si="0"/>
        <v>9.3384002601997015E-2</v>
      </c>
      <c r="E31" s="24">
        <f t="shared" si="0"/>
        <v>0.1013603648961143</v>
      </c>
      <c r="F31" s="24">
        <f t="shared" si="0"/>
        <v>7.1657966562908279E-2</v>
      </c>
      <c r="G31" s="6"/>
      <c r="H31" s="25" t="s">
        <v>10</v>
      </c>
      <c r="I31" s="24">
        <f t="shared" si="1"/>
        <v>0.56116999058794703</v>
      </c>
      <c r="J31" s="24">
        <f t="shared" si="1"/>
        <v>0.55948188162495227</v>
      </c>
      <c r="K31" s="24">
        <f t="shared" si="1"/>
        <v>0.57513103421806022</v>
      </c>
      <c r="L31" s="24">
        <f t="shared" si="1"/>
        <v>0.59482545415691901</v>
      </c>
      <c r="M31" s="24">
        <f t="shared" si="1"/>
        <v>0.60796606546289722</v>
      </c>
      <c r="N31" s="6"/>
      <c r="O31" s="25" t="s">
        <v>11</v>
      </c>
      <c r="P31" s="26">
        <f t="shared" si="2"/>
        <v>0.13279825984426752</v>
      </c>
      <c r="Q31" s="26">
        <f t="shared" si="3"/>
        <v>0.10579589530726141</v>
      </c>
      <c r="R31" s="26">
        <f t="shared" si="4"/>
        <v>0.10201972680681255</v>
      </c>
      <c r="S31" s="26">
        <f t="shared" si="5"/>
        <v>0.13509828080507547</v>
      </c>
      <c r="T31" s="26">
        <f t="shared" si="6"/>
        <v>0.13327214532783613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7.7996874046066547E-2</v>
      </c>
      <c r="C32" s="24">
        <f t="shared" si="0"/>
        <v>6.8187484897997128E-2</v>
      </c>
      <c r="D32" s="24">
        <f t="shared" si="0"/>
        <v>8.793826898827832E-2</v>
      </c>
      <c r="E32" s="24">
        <f t="shared" si="0"/>
        <v>9.0998404641406613E-2</v>
      </c>
      <c r="F32" s="24">
        <f t="shared" si="0"/>
        <v>8.1697090570843622E-2</v>
      </c>
      <c r="G32" s="6"/>
      <c r="H32" s="25" t="s">
        <v>13</v>
      </c>
      <c r="I32" s="24">
        <f t="shared" si="1"/>
        <v>0.43883000941205302</v>
      </c>
      <c r="J32" s="24">
        <f t="shared" si="1"/>
        <v>0.44051811837504773</v>
      </c>
      <c r="K32" s="24">
        <f t="shared" si="1"/>
        <v>0.42486896578193978</v>
      </c>
      <c r="L32" s="24">
        <f t="shared" si="1"/>
        <v>0.40517454584308099</v>
      </c>
      <c r="M32" s="24">
        <f t="shared" si="1"/>
        <v>0.39203393453710278</v>
      </c>
      <c r="N32" s="6"/>
      <c r="O32" s="25" t="s">
        <v>14</v>
      </c>
      <c r="P32" s="26">
        <f t="shared" si="2"/>
        <v>3.6458776719529573E-2</v>
      </c>
      <c r="Q32" s="26">
        <f t="shared" si="3"/>
        <v>2.6252938250619917E-2</v>
      </c>
      <c r="R32" s="26">
        <f t="shared" si="4"/>
        <v>3.8875568522478338E-2</v>
      </c>
      <c r="S32" s="26">
        <f t="shared" si="5"/>
        <v>0.24671108424570687</v>
      </c>
      <c r="T32" s="26">
        <f t="shared" si="6"/>
        <v>0.12803152398260956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0.65557752195438934</v>
      </c>
      <c r="C33" s="24">
        <f t="shared" si="0"/>
        <v>0.62904191224673889</v>
      </c>
      <c r="D33" s="24">
        <f t="shared" si="0"/>
        <v>0.59892276932964394</v>
      </c>
      <c r="E33" s="24">
        <f t="shared" si="0"/>
        <v>0.6453279230230109</v>
      </c>
      <c r="F33" s="24">
        <f t="shared" si="0"/>
        <v>0.70937835514533032</v>
      </c>
      <c r="G33" s="6"/>
      <c r="H33" s="25" t="s">
        <v>16</v>
      </c>
      <c r="I33" s="24">
        <f t="shared" si="1"/>
        <v>4.0797231917600381E-2</v>
      </c>
      <c r="J33" s="24">
        <f t="shared" si="1"/>
        <v>1.5586654725948961E-2</v>
      </c>
      <c r="K33" s="24">
        <f t="shared" si="1"/>
        <v>2.4624488758651048E-2</v>
      </c>
      <c r="L33" s="24">
        <f t="shared" si="1"/>
        <v>4.7645661590051701E-2</v>
      </c>
      <c r="M33" s="24">
        <f t="shared" si="1"/>
        <v>4.5240942363379416E-2</v>
      </c>
      <c r="N33" s="6"/>
      <c r="O33" s="25" t="s">
        <v>9</v>
      </c>
      <c r="P33" s="26">
        <f t="shared" si="2"/>
        <v>1.8716698796005089E-2</v>
      </c>
      <c r="Q33" s="26">
        <f t="shared" si="3"/>
        <v>1.6152844433594167E-2</v>
      </c>
      <c r="R33" s="26">
        <f t="shared" si="4"/>
        <v>1.3510205054812516E-2</v>
      </c>
      <c r="S33" s="26">
        <f t="shared" si="5"/>
        <v>-0.10187176983156239</v>
      </c>
      <c r="T33" s="26">
        <f t="shared" si="6"/>
        <v>4.4694481916828571E-3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>
        <f t="shared" si="0"/>
        <v>8.7838519455984438E-3</v>
      </c>
      <c r="C34" s="24">
        <f t="shared" si="0"/>
        <v>7.2746395997689986E-3</v>
      </c>
      <c r="D34" s="24">
        <f t="shared" si="0"/>
        <v>8.6511028697175019E-3</v>
      </c>
      <c r="E34" s="24">
        <f t="shared" si="0"/>
        <v>1.2457789210278757E-2</v>
      </c>
      <c r="F34" s="24">
        <f t="shared" si="0"/>
        <v>6.8155973907920407E-3</v>
      </c>
      <c r="G34" s="6"/>
      <c r="H34" s="25" t="s">
        <v>18</v>
      </c>
      <c r="I34" s="24">
        <f t="shared" si="1"/>
        <v>0.4796272413296534</v>
      </c>
      <c r="J34" s="24">
        <f t="shared" si="1"/>
        <v>0.45610477310099667</v>
      </c>
      <c r="K34" s="24">
        <f t="shared" si="1"/>
        <v>0.44949345454059081</v>
      </c>
      <c r="L34" s="24">
        <f t="shared" si="1"/>
        <v>0.45282020743313267</v>
      </c>
      <c r="M34" s="24">
        <f t="shared" si="1"/>
        <v>0.43727487690048217</v>
      </c>
      <c r="N34" s="6"/>
      <c r="O34" s="25" t="s">
        <v>19</v>
      </c>
      <c r="P34" s="26" t="e">
        <f t="shared" si="2"/>
        <v>#VALUE!</v>
      </c>
      <c r="Q34" s="26" t="e">
        <f t="shared" si="3"/>
        <v>#VALUE!</v>
      </c>
      <c r="R34" s="26" t="e">
        <f t="shared" si="4"/>
        <v>#VALUE!</v>
      </c>
      <c r="S34" s="26" t="e">
        <f t="shared" si="5"/>
        <v>#VALUE!</v>
      </c>
      <c r="T34" s="26">
        <f t="shared" si="6"/>
        <v>-2.3335101365129694E-2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5.1689117423118325E-2</v>
      </c>
      <c r="J35" s="24">
        <f t="shared" si="1"/>
        <v>3.9680766413870062E-2</v>
      </c>
      <c r="K35" s="24">
        <f t="shared" si="1"/>
        <v>2.9300606133209738E-2</v>
      </c>
      <c r="L35" s="24">
        <f t="shared" si="1"/>
        <v>3.1337630635726289E-2</v>
      </c>
      <c r="M35" s="24">
        <f t="shared" si="1"/>
        <v>3.1820194814243578E-2</v>
      </c>
      <c r="N35" s="6"/>
      <c r="O35" s="25" t="s">
        <v>22</v>
      </c>
      <c r="P35" s="26">
        <f t="shared" si="2"/>
        <v>-0.14988396044550914</v>
      </c>
      <c r="Q35" s="26">
        <f t="shared" si="3"/>
        <v>-2.8265651340378031E-2</v>
      </c>
      <c r="R35" s="26">
        <f t="shared" si="4"/>
        <v>-3.1612786543761331E-2</v>
      </c>
      <c r="S35" s="26">
        <f t="shared" si="5"/>
        <v>-4.762474044706988E-2</v>
      </c>
      <c r="T35" s="26">
        <f t="shared" si="6"/>
        <v>-5.5916984705673779E-2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7.2800663446383862E-2</v>
      </c>
      <c r="C36" s="24">
        <f t="shared" si="0"/>
        <v>0.12920715158957166</v>
      </c>
      <c r="D36" s="24">
        <f t="shared" si="0"/>
        <v>0.15416392776528112</v>
      </c>
      <c r="E36" s="24">
        <f t="shared" si="0"/>
        <v>0.13991932007990535</v>
      </c>
      <c r="F36" s="24">
        <f t="shared" si="0"/>
        <v>0.10432810072756309</v>
      </c>
      <c r="G36" s="6"/>
      <c r="H36" s="25" t="s">
        <v>11</v>
      </c>
      <c r="I36" s="24" t="e">
        <f t="shared" si="1"/>
        <v>#VALUE!</v>
      </c>
      <c r="J36" s="24" t="e">
        <f t="shared" si="1"/>
        <v>#VALUE!</v>
      </c>
      <c r="K36" s="24" t="e">
        <f t="shared" si="1"/>
        <v>#VALUE!</v>
      </c>
      <c r="L36" s="24" t="e">
        <f t="shared" si="1"/>
        <v>#VALUE!</v>
      </c>
      <c r="M36" s="24">
        <f t="shared" si="1"/>
        <v>0</v>
      </c>
      <c r="N36" s="6"/>
      <c r="O36" s="25" t="s">
        <v>24</v>
      </c>
      <c r="P36" s="26" t="e">
        <f t="shared" si="2"/>
        <v>#VALUE!</v>
      </c>
      <c r="Q36" s="26" t="e">
        <f t="shared" si="3"/>
        <v>#VALUE!</v>
      </c>
      <c r="R36" s="26" t="e">
        <f t="shared" si="4"/>
        <v>#VALUE!</v>
      </c>
      <c r="S36" s="26" t="e">
        <f t="shared" si="5"/>
        <v>#VALUE!</v>
      </c>
      <c r="T36" s="26">
        <f t="shared" si="6"/>
        <v>0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4.1187128825723486E-2</v>
      </c>
      <c r="C37" s="24">
        <f t="shared" si="0"/>
        <v>2.4843163854516452E-2</v>
      </c>
      <c r="D37" s="24">
        <f t="shared" si="0"/>
        <v>4.5757641168593585E-2</v>
      </c>
      <c r="E37" s="24">
        <f t="shared" si="0"/>
        <v>0.12651855775585391</v>
      </c>
      <c r="F37" s="24">
        <f t="shared" si="0"/>
        <v>0.19147574064557554</v>
      </c>
      <c r="G37" s="6"/>
      <c r="H37" s="25" t="s">
        <v>26</v>
      </c>
      <c r="I37" s="24">
        <f t="shared" si="1"/>
        <v>2.2394003018540075E-2</v>
      </c>
      <c r="J37" s="24">
        <f t="shared" si="1"/>
        <v>4.0024741881417955E-2</v>
      </c>
      <c r="K37" s="24">
        <f t="shared" si="1"/>
        <v>3.261244402005363E-2</v>
      </c>
      <c r="L37" s="24">
        <f t="shared" si="1"/>
        <v>0.26514858868210994</v>
      </c>
      <c r="M37" s="24">
        <f t="shared" si="1"/>
        <v>0.11684987804958126</v>
      </c>
      <c r="N37" s="6"/>
      <c r="O37" s="25" t="s">
        <v>27</v>
      </c>
      <c r="P37" s="26">
        <f t="shared" si="2"/>
        <v>-0.18912657262039353</v>
      </c>
      <c r="Q37" s="26">
        <f t="shared" si="3"/>
        <v>-0.10341911614742606</v>
      </c>
      <c r="R37" s="26">
        <f t="shared" si="4"/>
        <v>-2.7619390447368528E-2</v>
      </c>
      <c r="S37" s="26">
        <f t="shared" si="5"/>
        <v>-3.0904264102531533E-2</v>
      </c>
      <c r="T37" s="26">
        <f t="shared" si="6"/>
        <v>-3.2297344523247916E-2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>
        <f t="shared" si="0"/>
        <v>1.490762976442675E-2</v>
      </c>
      <c r="C38" s="24">
        <f t="shared" si="0"/>
        <v>1.3968437873216872E-2</v>
      </c>
      <c r="D38" s="24">
        <f t="shared" si="0"/>
        <v>1.1649650478742056E-2</v>
      </c>
      <c r="E38" s="24">
        <f t="shared" si="0"/>
        <v>1.0797716775751549E-2</v>
      </c>
      <c r="F38" s="24">
        <f t="shared" si="0"/>
        <v>1.0100038453713841E-2</v>
      </c>
      <c r="G38" s="6"/>
      <c r="H38" s="25" t="s">
        <v>29</v>
      </c>
      <c r="I38" s="24">
        <f t="shared" si="1"/>
        <v>7.4083120441658393E-2</v>
      </c>
      <c r="J38" s="24">
        <f t="shared" si="1"/>
        <v>7.9705508295288025E-2</v>
      </c>
      <c r="K38" s="24">
        <f t="shared" si="1"/>
        <v>6.1913050153263365E-2</v>
      </c>
      <c r="L38" s="24">
        <f t="shared" si="1"/>
        <v>0.29648621931783625</v>
      </c>
      <c r="M38" s="24">
        <f t="shared" si="1"/>
        <v>0.14867007286382483</v>
      </c>
      <c r="N38" s="6"/>
      <c r="O38" s="25" t="s">
        <v>30</v>
      </c>
      <c r="P38" s="26">
        <f t="shared" si="2"/>
        <v>2.8742961844985159E-2</v>
      </c>
      <c r="Q38" s="26">
        <f t="shared" si="3"/>
        <v>9.4620649851847021E-3</v>
      </c>
      <c r="R38" s="26">
        <f t="shared" si="4"/>
        <v>2.6386537713372207E-2</v>
      </c>
      <c r="S38" s="26">
        <f t="shared" si="5"/>
        <v>3.1953309986334014E-2</v>
      </c>
      <c r="T38" s="26">
        <f t="shared" si="6"/>
        <v>1.0879597034667772E-2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0.87110457796346585</v>
      </c>
      <c r="C39" s="24">
        <f t="shared" si="0"/>
        <v>0.83198124668269502</v>
      </c>
      <c r="D39" s="24">
        <f t="shared" si="0"/>
        <v>0.78842878058738319</v>
      </c>
      <c r="E39" s="24">
        <f t="shared" si="0"/>
        <v>0.72276440538848918</v>
      </c>
      <c r="F39" s="24">
        <f t="shared" si="0"/>
        <v>0.69409612017314759</v>
      </c>
      <c r="G39" s="6"/>
      <c r="H39" s="25" t="s">
        <v>32</v>
      </c>
      <c r="I39" s="24">
        <f t="shared" si="1"/>
        <v>0.40554412088799496</v>
      </c>
      <c r="J39" s="24">
        <f t="shared" si="1"/>
        <v>0.37639926480570868</v>
      </c>
      <c r="K39" s="24">
        <f t="shared" si="1"/>
        <v>0.38758040438732744</v>
      </c>
      <c r="L39" s="24">
        <f t="shared" si="1"/>
        <v>0.15633398811529642</v>
      </c>
      <c r="M39" s="24">
        <f t="shared" si="1"/>
        <v>0.28860480403665734</v>
      </c>
      <c r="N39" s="6"/>
      <c r="O39" s="25" t="s">
        <v>33</v>
      </c>
      <c r="P39" s="26">
        <f t="shared" si="2"/>
        <v>-2.0131291376634081E-2</v>
      </c>
      <c r="Q39" s="26">
        <f t="shared" si="3"/>
        <v>-0.14118396964736121</v>
      </c>
      <c r="R39" s="26">
        <f t="shared" si="4"/>
        <v>-0.17937600205630533</v>
      </c>
      <c r="S39" s="26">
        <f t="shared" si="5"/>
        <v>-0.15257640139902673</v>
      </c>
      <c r="T39" s="26">
        <f t="shared" si="6"/>
        <v>-0.27129244097096317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 t="e">
        <f t="shared" si="0"/>
        <v>#VALUE!</v>
      </c>
      <c r="C40" s="24" t="e">
        <f t="shared" si="0"/>
        <v>#VALUE!</v>
      </c>
      <c r="D40" s="24" t="e">
        <f t="shared" si="0"/>
        <v>#VALUE!</v>
      </c>
      <c r="E40" s="24" t="e">
        <f t="shared" si="0"/>
        <v>#VALUE!</v>
      </c>
      <c r="F40" s="24">
        <f t="shared" si="0"/>
        <v>0</v>
      </c>
      <c r="G40" s="6"/>
      <c r="H40" s="25" t="s">
        <v>35</v>
      </c>
      <c r="I40" s="24">
        <f t="shared" ref="I40:M49" si="7">I21/I$11</f>
        <v>1.4562029248173481E-2</v>
      </c>
      <c r="J40" s="24">
        <f t="shared" si="7"/>
        <v>1.10315672070227E-2</v>
      </c>
      <c r="K40" s="24">
        <f t="shared" si="7"/>
        <v>1.2241878727998376E-2</v>
      </c>
      <c r="L40" s="24">
        <f t="shared" si="7"/>
        <v>1.2806728239582952E-2</v>
      </c>
      <c r="M40" s="24">
        <f t="shared" si="7"/>
        <v>5.9475908682008905E-3</v>
      </c>
      <c r="N40" s="6"/>
      <c r="O40" s="25" t="s">
        <v>36</v>
      </c>
      <c r="P40" s="26">
        <f t="shared" si="2"/>
        <v>-0.35878061801306232</v>
      </c>
      <c r="Q40" s="26">
        <f t="shared" si="3"/>
        <v>-0.32288337892276625</v>
      </c>
      <c r="R40" s="26">
        <f t="shared" si="4"/>
        <v>-0.18282682664287803</v>
      </c>
      <c r="S40" s="26">
        <f t="shared" si="5"/>
        <v>-0.20621223453497903</v>
      </c>
      <c r="T40" s="26">
        <f t="shared" si="6"/>
        <v>-0.19014124069138555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0.39098209163982151</v>
      </c>
      <c r="J41" s="24">
        <f t="shared" si="7"/>
        <v>0.36536769759868593</v>
      </c>
      <c r="K41" s="24">
        <f t="shared" si="7"/>
        <v>0.37533852565932907</v>
      </c>
      <c r="L41" s="24">
        <f t="shared" si="7"/>
        <v>0.14352725987571346</v>
      </c>
      <c r="M41" s="24">
        <f t="shared" si="7"/>
        <v>0.28265721316845649</v>
      </c>
      <c r="N41" s="6"/>
      <c r="O41" s="25" t="s">
        <v>38</v>
      </c>
      <c r="P41" s="26">
        <f t="shared" si="2"/>
        <v>0.39027638656725799</v>
      </c>
      <c r="Q41" s="26">
        <f t="shared" si="3"/>
        <v>0.34306104072973936</v>
      </c>
      <c r="R41" s="26">
        <f t="shared" si="4"/>
        <v>0.16987663912714027</v>
      </c>
      <c r="S41" s="26">
        <f t="shared" si="5"/>
        <v>0.21296005033029256</v>
      </c>
      <c r="T41" s="26">
        <f t="shared" si="6"/>
        <v>0.22161780016474067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0.95550318681135082</v>
      </c>
      <c r="J42" s="24">
        <f t="shared" si="7"/>
        <v>0.68641430840536022</v>
      </c>
      <c r="K42" s="24">
        <f t="shared" si="7"/>
        <v>0.58086438096545168</v>
      </c>
      <c r="L42" s="24">
        <f t="shared" si="7"/>
        <v>0.79840834932929061</v>
      </c>
      <c r="M42" s="24">
        <f t="shared" si="7"/>
        <v>0.67336184071808847</v>
      </c>
      <c r="N42" s="6"/>
      <c r="O42" s="25" t="s">
        <v>40</v>
      </c>
      <c r="P42" s="26">
        <f t="shared" si="2"/>
        <v>0.31020869616413094</v>
      </c>
      <c r="Q42" s="26">
        <f t="shared" si="3"/>
        <v>0.2986425449557672</v>
      </c>
      <c r="R42" s="26">
        <f t="shared" si="4"/>
        <v>0.32769341976483918</v>
      </c>
      <c r="S42" s="26">
        <f t="shared" si="5"/>
        <v>0.23482488629732381</v>
      </c>
      <c r="T42" s="26">
        <f t="shared" si="6"/>
        <v>0.20794461561359337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 t="e">
        <f t="shared" si="7"/>
        <v>#VALUE!</v>
      </c>
      <c r="J43" s="24" t="e">
        <f t="shared" si="7"/>
        <v>#VALUE!</v>
      </c>
      <c r="K43" s="24" t="e">
        <f t="shared" si="7"/>
        <v>#VALUE!</v>
      </c>
      <c r="L43" s="24" t="e">
        <f t="shared" si="7"/>
        <v>#VALUE!</v>
      </c>
      <c r="M43" s="24">
        <f t="shared" si="7"/>
        <v>0</v>
      </c>
      <c r="N43" s="6"/>
      <c r="O43" s="2" t="s">
        <v>49</v>
      </c>
      <c r="P43" s="26">
        <f>P24/I11</f>
        <v>0.45922782976197768</v>
      </c>
      <c r="Q43" s="26">
        <f>Q24/J11</f>
        <v>0.51360590395839667</v>
      </c>
      <c r="R43" s="26">
        <f>R24/K11</f>
        <v>0.52125246207087861</v>
      </c>
      <c r="S43" s="26">
        <f>S24/L11</f>
        <v>0.37960442601723454</v>
      </c>
      <c r="T43" s="26">
        <f>T24/M11</f>
        <v>0.46917824459978158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 t="e">
        <f t="shared" si="7"/>
        <v>#VALUE!</v>
      </c>
      <c r="J44" s="24" t="e">
        <f t="shared" si="7"/>
        <v>#VALUE!</v>
      </c>
      <c r="K44" s="24">
        <f t="shared" si="7"/>
        <v>0.18318330717398168</v>
      </c>
      <c r="L44" s="24">
        <f t="shared" si="7"/>
        <v>0.19426775625971807</v>
      </c>
      <c r="M44" s="24">
        <f t="shared" si="7"/>
        <v>0.1751008106437946</v>
      </c>
      <c r="N44" s="6"/>
      <c r="O44" s="2" t="s">
        <v>50</v>
      </c>
      <c r="P44" s="26">
        <f>P24/B16</f>
        <v>0.15124140722952178</v>
      </c>
      <c r="Q44" s="26">
        <f>Q24/C16</f>
        <v>0.21662865006261633</v>
      </c>
      <c r="R44" s="26">
        <f>R24/D16</f>
        <v>0.21886955731865379</v>
      </c>
      <c r="S44" s="26">
        <f>S24/E16</f>
        <v>0.12694082181581043</v>
      </c>
      <c r="T44" s="26">
        <f>T24/F16</f>
        <v>0.15124515947707654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0.35945608994835704</v>
      </c>
      <c r="J45" s="24">
        <f t="shared" si="7"/>
        <v>0.32062349054128347</v>
      </c>
      <c r="K45" s="24">
        <f t="shared" si="7"/>
        <v>0.11735362345304605</v>
      </c>
      <c r="L45" s="24">
        <f t="shared" si="7"/>
        <v>1.3449306202595866E-3</v>
      </c>
      <c r="M45" s="24">
        <f t="shared" si="7"/>
        <v>1.3132560798284597E-3</v>
      </c>
      <c r="N45" s="6"/>
      <c r="O45" s="2" t="s">
        <v>51</v>
      </c>
      <c r="P45" s="26">
        <f>P24/B20</f>
        <v>0.17362026449580301</v>
      </c>
      <c r="Q45" s="26">
        <f>Q24/C20</f>
        <v>0.26037684253865784</v>
      </c>
      <c r="R45" s="26">
        <f>R24/D20</f>
        <v>0.27760219148214621</v>
      </c>
      <c r="S45" s="26">
        <f>S24/E20</f>
        <v>0.17563236494411916</v>
      </c>
      <c r="T45" s="26">
        <f>T24/F20</f>
        <v>0.21790232661053816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0.98702918850281529</v>
      </c>
      <c r="J46" s="24">
        <f t="shared" si="7"/>
        <v>0.73115851546276267</v>
      </c>
      <c r="K46" s="24">
        <f t="shared" si="7"/>
        <v>0.655665975997753</v>
      </c>
      <c r="L46" s="24">
        <f t="shared" si="7"/>
        <v>0.74632292232502639</v>
      </c>
      <c r="M46" s="24">
        <f t="shared" si="7"/>
        <v>0.77960498716292181</v>
      </c>
      <c r="N46" s="6"/>
      <c r="O46" s="2" t="s">
        <v>52</v>
      </c>
      <c r="P46" s="26">
        <f>P24/I22</f>
        <v>1.1745495243424735</v>
      </c>
      <c r="Q46" s="26">
        <f>Q24/J22</f>
        <v>1.4057233502960986</v>
      </c>
      <c r="R46" s="26">
        <f>R24/K22</f>
        <v>1.3887528895554577</v>
      </c>
      <c r="S46" s="26">
        <f>S24/L22</f>
        <v>2.6448245883461485</v>
      </c>
      <c r="T46" s="26">
        <f>T24/M22</f>
        <v>1.6598842086515702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1.1733652354748019</v>
      </c>
      <c r="Q47" s="26">
        <f>Q24/(C22-C20)</f>
        <v>1.289312328448903</v>
      </c>
      <c r="R47" s="26">
        <f>R24/(D22-D20)</f>
        <v>1.034495891862321</v>
      </c>
      <c r="S47" s="26">
        <f>S24/(E22-E20)</f>
        <v>0.45788067724020831</v>
      </c>
      <c r="T47" s="26">
        <f>T24/(F22-F20)</f>
        <v>0.49442053354368776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 t="e">
        <f>P24/I25</f>
        <v>#VALUE!</v>
      </c>
      <c r="Q48" s="26" t="e">
        <f>Q24/J25</f>
        <v>#VALUE!</v>
      </c>
      <c r="R48" s="26">
        <f>R24/K25</f>
        <v>2.8455238095238093</v>
      </c>
      <c r="S48" s="26">
        <f>S24/L25</f>
        <v>1.9540269230769232</v>
      </c>
      <c r="T48" s="26">
        <f>T24/M25</f>
        <v>2.6794750000000001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2.4281507532192181</v>
      </c>
      <c r="Q49" s="26">
        <f>Q24/(Q18*-1)</f>
        <v>4.9662569464067063</v>
      </c>
      <c r="R49" s="26">
        <f>R24/(R18*-1)</f>
        <v>18.872699709436983</v>
      </c>
      <c r="S49" s="26">
        <f>S24/(S18*-1)</f>
        <v>12.283237832740987</v>
      </c>
      <c r="T49" s="26">
        <f>T24/(T18*-1)</f>
        <v>14.52683654106804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-0.27144727536976182</v>
      </c>
      <c r="J50" s="28">
        <f>LN(J13/K13)</f>
        <v>-9.6591468620724329E-3</v>
      </c>
      <c r="K50" s="28">
        <f>LN(K13/L13)</f>
        <v>0.29810392607949027</v>
      </c>
      <c r="L50" s="28">
        <f>LN(L13/M13)</f>
        <v>9.1367300851701548E-3</v>
      </c>
      <c r="O50" s="2"/>
      <c r="P50" s="12"/>
      <c r="Q50" s="12"/>
      <c r="R50" s="12"/>
    </row>
    <row r="51" spans="1:29">
      <c r="A51" s="29" t="s">
        <v>57</v>
      </c>
      <c r="B51" s="30">
        <f>B11/B17</f>
        <v>2.3426984692573756</v>
      </c>
      <c r="C51" s="30">
        <f>C11/C17</f>
        <v>1.5796795567373771</v>
      </c>
      <c r="D51" s="30">
        <f>D11/D17</f>
        <v>1.3693466381563317</v>
      </c>
      <c r="E51" s="30">
        <f>E11/E17</f>
        <v>1.0710137681030019</v>
      </c>
      <c r="F51" s="30">
        <f>F11/F17</f>
        <v>1.2503916914080375</v>
      </c>
      <c r="H51" s="29" t="s">
        <v>58</v>
      </c>
      <c r="I51" s="31">
        <f>I13/I11</f>
        <v>0.43883000941205302</v>
      </c>
      <c r="J51" s="31">
        <f>J13/J11</f>
        <v>0.44051811837504773</v>
      </c>
      <c r="K51" s="31">
        <f>K13/K11</f>
        <v>0.42486896578193978</v>
      </c>
      <c r="L51" s="31">
        <f>L13/L11</f>
        <v>0.40517454584308099</v>
      </c>
      <c r="M51" s="31">
        <f>M13/M11</f>
        <v>0.39203393453710278</v>
      </c>
      <c r="O51" s="2" t="s">
        <v>59</v>
      </c>
      <c r="P51" s="32">
        <f>(P11-P24-P25)/B16</f>
        <v>4.0276069158782998E-2</v>
      </c>
      <c r="Q51" s="32">
        <f>(Q11-Q24-Q25)/C16</f>
        <v>-1.0957409848264833E-2</v>
      </c>
      <c r="R51" s="32">
        <f>(R11-R24-R25)/D16</f>
        <v>-5.1041970875995893E-2</v>
      </c>
      <c r="S51" s="32">
        <f>(S11-S24-S25)/E16</f>
        <v>-7.8036896883866141E-2</v>
      </c>
      <c r="T51" s="32">
        <f>(T11-T24-T25)/F16</f>
        <v>-5.3222997437595031E-2</v>
      </c>
    </row>
    <row r="52" spans="1:29">
      <c r="A52" s="29" t="s">
        <v>60</v>
      </c>
      <c r="B52" s="31">
        <f>I20/B16</f>
        <v>0.13356129476854708</v>
      </c>
      <c r="C52" s="31">
        <f>J20/C16</f>
        <v>0.15875764665280556</v>
      </c>
      <c r="D52" s="31">
        <f>K20/D16</f>
        <v>0.16274177621458272</v>
      </c>
      <c r="E52" s="31">
        <f>L20/E16</f>
        <v>5.2278539366129174E-2</v>
      </c>
      <c r="F52" s="31">
        <f>M20/F16</f>
        <v>9.303517397659615E-2</v>
      </c>
      <c r="G52" s="31"/>
      <c r="H52" s="29" t="s">
        <v>61</v>
      </c>
      <c r="I52" s="31">
        <f>I16/I11</f>
        <v>5.1689117423118325E-2</v>
      </c>
      <c r="J52" s="31">
        <f>J16/J11</f>
        <v>3.9680766413870062E-2</v>
      </c>
      <c r="K52" s="31">
        <f>K16/K11</f>
        <v>2.9300606133209738E-2</v>
      </c>
      <c r="L52" s="31">
        <f>L16/L11</f>
        <v>3.1337630635726289E-2</v>
      </c>
      <c r="M52" s="31">
        <f>M16/M11</f>
        <v>3.1820194814243578E-2</v>
      </c>
    </row>
    <row r="53" spans="1:29">
      <c r="A53" s="29" t="s">
        <v>62</v>
      </c>
      <c r="B53" s="49">
        <f>I20/B20</f>
        <v>0.15332406481067609</v>
      </c>
      <c r="C53" s="49">
        <f>J20/C20</f>
        <v>0.19081878021386858</v>
      </c>
      <c r="D53" s="31">
        <f>K20/D20</f>
        <v>0.20641277972290573</v>
      </c>
      <c r="E53" s="31">
        <f>L20/E20</f>
        <v>7.2331369636319073E-2</v>
      </c>
      <c r="F53" s="31">
        <f>M20/F20</f>
        <v>0.13403788217889451</v>
      </c>
      <c r="H53" s="29" t="s">
        <v>11</v>
      </c>
      <c r="I53" s="31" t="e">
        <f>I17/I11</f>
        <v>#VALUE!</v>
      </c>
      <c r="J53" s="31" t="e">
        <f>J17/J11</f>
        <v>#VALUE!</v>
      </c>
      <c r="K53" s="31" t="e">
        <f>K17/K11</f>
        <v>#VALUE!</v>
      </c>
      <c r="L53" s="31" t="e">
        <f>L17/L11</f>
        <v>#VALUE!</v>
      </c>
      <c r="M53" s="31">
        <f>M17/M11</f>
        <v>0</v>
      </c>
    </row>
    <row r="54" spans="1:29">
      <c r="A54" s="29" t="s">
        <v>63</v>
      </c>
      <c r="B54" s="30">
        <f>I11/B12</f>
        <v>3.781512124676575</v>
      </c>
      <c r="C54" s="30">
        <f>J11/C12</f>
        <v>4.6151613492364536</v>
      </c>
      <c r="D54" s="30">
        <f>K11/D12</f>
        <v>4.4963980995562665</v>
      </c>
      <c r="E54" s="30">
        <f>L11/E12</f>
        <v>3.2991485648362699</v>
      </c>
      <c r="F54" s="30">
        <f>M11/F12</f>
        <v>4.4986182223972691</v>
      </c>
      <c r="H54" s="29" t="s">
        <v>64</v>
      </c>
      <c r="I54" s="31" t="e">
        <f>I25/I22</f>
        <v>#VALUE!</v>
      </c>
      <c r="J54" s="31" t="e">
        <f>J25/J22</f>
        <v>#VALUE!</v>
      </c>
      <c r="K54" s="31">
        <f>K25/K22</f>
        <v>0.48804824085722964</v>
      </c>
      <c r="L54" s="31">
        <f>L25/L22</f>
        <v>1.3535251521414329</v>
      </c>
      <c r="M54" s="31">
        <f>M25/M22</f>
        <v>0.61948113292774531</v>
      </c>
    </row>
    <row r="55" spans="1:29">
      <c r="A55" s="29" t="s">
        <v>65</v>
      </c>
      <c r="B55" s="31">
        <f>(B22-B20)/B16</f>
        <v>0.12889542203653409</v>
      </c>
      <c r="C55" s="31">
        <f>(C22-C20)/C16</f>
        <v>0.16801875331730498</v>
      </c>
      <c r="D55" s="31">
        <f>(D22-D20)/D16</f>
        <v>0.21157121941261675</v>
      </c>
      <c r="E55" s="31">
        <f>(E22-E20)/E16</f>
        <v>0.27723559461151082</v>
      </c>
      <c r="F55" s="31">
        <f>(F22-F20)/F16</f>
        <v>0.30590387982685247</v>
      </c>
      <c r="H55" s="29" t="s">
        <v>66</v>
      </c>
      <c r="I55" s="31">
        <f>I22/I11</f>
        <v>0.39098209163982151</v>
      </c>
      <c r="J55" s="31">
        <f>J22/J11</f>
        <v>0.36536769759868593</v>
      </c>
      <c r="K55" s="31">
        <f>K22/K11</f>
        <v>0.37533852565932907</v>
      </c>
      <c r="L55" s="31">
        <f>L22/L11</f>
        <v>0.14352725987571346</v>
      </c>
      <c r="M55" s="31">
        <f>M22/M11</f>
        <v>0.28265721316845649</v>
      </c>
      <c r="N55" s="31"/>
    </row>
    <row r="56" spans="1:29">
      <c r="A56" s="29" t="s">
        <v>67</v>
      </c>
      <c r="B56" s="31">
        <f>(B22-B20)/B20</f>
        <v>0.14796779318721473</v>
      </c>
      <c r="C56" s="31">
        <f>(C22-C20)/C20</f>
        <v>0.2019501689337774</v>
      </c>
      <c r="D56" s="31">
        <f>(D22-D20)/D20</f>
        <v>0.26834537832953687</v>
      </c>
      <c r="E56" s="31">
        <f>(E22-E20)/E20</f>
        <v>0.38357671261148424</v>
      </c>
      <c r="F56" s="31">
        <f>(F22-F20)/F20</f>
        <v>0.44072264767960728</v>
      </c>
      <c r="H56" s="33" t="s">
        <v>68</v>
      </c>
      <c r="I56" s="34">
        <f>I13/B16</f>
        <v>0.14452361955594684</v>
      </c>
      <c r="J56" s="34">
        <f>J13/C16</f>
        <v>0.1858016907053319</v>
      </c>
      <c r="K56" s="34">
        <f>K13/D16</f>
        <v>0.17839893185287778</v>
      </c>
      <c r="L56" s="34">
        <f>L13/E16</f>
        <v>0.13549154409973427</v>
      </c>
      <c r="M56" s="34">
        <f>M13/F16</f>
        <v>0.12637677819027651</v>
      </c>
    </row>
    <row r="57" spans="1:29">
      <c r="A57" s="29" t="s">
        <v>69</v>
      </c>
      <c r="B57" s="30">
        <f>I11/B16</f>
        <v>0.32933850569969092</v>
      </c>
      <c r="C57" s="30">
        <f>J11/C16</f>
        <v>0.42177990633099072</v>
      </c>
      <c r="D57" s="30">
        <f>K11/D16</f>
        <v>0.41989165182857685</v>
      </c>
      <c r="E57" s="30">
        <f>L11/E16</f>
        <v>0.33440290237829612</v>
      </c>
      <c r="F57" s="30">
        <f>M11/F16</f>
        <v>0.32236183415983338</v>
      </c>
      <c r="H57" s="33" t="s">
        <v>70</v>
      </c>
      <c r="I57" s="35" t="e">
        <f>I25/$C$5</f>
        <v>#VALUE!</v>
      </c>
      <c r="J57" s="35" t="e">
        <f>J25/$C$5</f>
        <v>#VALUE!</v>
      </c>
      <c r="K57" s="35">
        <f>K25/$C$5</f>
        <v>73.47795661301609</v>
      </c>
      <c r="L57" s="35">
        <f>L25/$C$5</f>
        <v>60.648472125029159</v>
      </c>
      <c r="M57" s="35">
        <f>M25/$C$5</f>
        <v>55.983205038488457</v>
      </c>
    </row>
    <row r="58" spans="1:29">
      <c r="A58" s="29" t="s">
        <v>71</v>
      </c>
      <c r="B58" s="30">
        <f>B16/B20</f>
        <v>1.1479677931872148</v>
      </c>
      <c r="C58" s="30">
        <f>C16/C20</f>
        <v>1.2019501689337775</v>
      </c>
      <c r="D58" s="30">
        <f>D16/D20</f>
        <v>1.2683453783295369</v>
      </c>
      <c r="E58" s="30">
        <f>E16/E20</f>
        <v>1.3835767126114842</v>
      </c>
      <c r="F58" s="30">
        <f>F16/F20</f>
        <v>1.4407226476796073</v>
      </c>
      <c r="H58" s="36" t="s">
        <v>72</v>
      </c>
      <c r="I58" s="37">
        <f>I22/$C$7/1000</f>
        <v>4.91425</v>
      </c>
      <c r="J58" s="37">
        <f>J22/$C$7/1000</f>
        <v>6.0013800000000002</v>
      </c>
      <c r="K58" s="37">
        <f>K22/$C$7/1000</f>
        <v>6.4542799999999998</v>
      </c>
      <c r="L58" s="37">
        <f>L22/$C$7/1000</f>
        <v>1.9209100000000001</v>
      </c>
      <c r="M58" s="37">
        <f>M22/$C$7/1000</f>
        <v>3.8742100000000002</v>
      </c>
    </row>
    <row r="59" spans="1:29">
      <c r="A59" s="2" t="s">
        <v>90</v>
      </c>
      <c r="B59" s="28">
        <f>I20/(B16-B17)</f>
        <v>0.14404809138991848</v>
      </c>
      <c r="C59" s="28">
        <f>J20/(C16-C17)</f>
        <v>0.18231390731171782</v>
      </c>
      <c r="D59" s="28">
        <f>K20/(D16-D17)</f>
        <v>0.19240344737794771</v>
      </c>
      <c r="E59" s="28">
        <f>L20/(E16-E17)</f>
        <v>6.0783296947195802E-2</v>
      </c>
      <c r="F59" s="28">
        <f>M20/(F16-F17)</f>
        <v>0.10387193575255575</v>
      </c>
      <c r="H59" s="36" t="s">
        <v>73</v>
      </c>
      <c r="I59" s="37">
        <f>B20/$C$7/1000</f>
        <v>33.245139999999999</v>
      </c>
      <c r="J59" s="37">
        <f>C20/$C$7/1000</f>
        <v>32.400269999999999</v>
      </c>
      <c r="K59" s="37">
        <f>D20/$C$7/1000</f>
        <v>32.288650000000004</v>
      </c>
      <c r="L59" s="37">
        <f>E20/$C$7/1000</f>
        <v>28.926729999999999</v>
      </c>
      <c r="M59" s="37">
        <f>F20/$C$7/1000</f>
        <v>29.512029999999999</v>
      </c>
    </row>
    <row r="60" spans="1:29">
      <c r="H60" s="33" t="s">
        <v>74</v>
      </c>
      <c r="I60" s="38">
        <f>SQRT(22.5*I58*I59)</f>
        <v>60.629497012695893</v>
      </c>
      <c r="J60" s="38">
        <f>SQRT(22.5*J58*J59)</f>
        <v>66.144103882232017</v>
      </c>
      <c r="K60" s="38">
        <f>SQRT(22.5*K58*K59)</f>
        <v>68.476271278779492</v>
      </c>
      <c r="L60" s="38">
        <f>SQRT(22.5*L58*L59)</f>
        <v>35.358549331056416</v>
      </c>
      <c r="M60" s="38">
        <f>SQRT(22.5*M58*M59)</f>
        <v>50.720366119456884</v>
      </c>
    </row>
    <row r="61" spans="1:29">
      <c r="H61" s="33" t="s">
        <v>75</v>
      </c>
      <c r="I61" s="39">
        <f>I58-(B20*0.08/1000/$C$7)</f>
        <v>2.2546387999999999</v>
      </c>
      <c r="J61" s="39">
        <f>J58-(C20*0.08/1000/$C$7)</f>
        <v>3.4093584000000003</v>
      </c>
      <c r="K61" s="39">
        <f>K58-(D20*0.08/1000/$C$7)</f>
        <v>3.8711879999999996</v>
      </c>
      <c r="L61" s="39">
        <f>L58-(E20*0.08/1000/$C$7)</f>
        <v>-0.39322839999999992</v>
      </c>
      <c r="M61" s="39">
        <f>M58-(F20*0.08/1000/$C$7)</f>
        <v>1.5132476000000001</v>
      </c>
    </row>
    <row r="62" spans="1:29">
      <c r="H62" s="40" t="s">
        <v>76</v>
      </c>
      <c r="I62" s="41" t="e">
        <f>I25/B7/1000</f>
        <v>#VALUE!</v>
      </c>
      <c r="J62" s="41" t="e">
        <f>J25/C7/1000</f>
        <v>#VALUE!</v>
      </c>
      <c r="K62" s="41">
        <f>K25/C7/1000</f>
        <v>3.15</v>
      </c>
      <c r="L62" s="41">
        <v>5.8</v>
      </c>
      <c r="M62" s="41">
        <v>5.17</v>
      </c>
    </row>
    <row r="63" spans="1:29">
      <c r="A63" s="2"/>
    </row>
    <row r="74" spans="8:13">
      <c r="H74" s="2" t="s">
        <v>86</v>
      </c>
      <c r="I74" s="6"/>
      <c r="J74" s="6">
        <f>J59*$C$7/$C$5</f>
        <v>0.75577956613016095</v>
      </c>
      <c r="K74" s="6">
        <f>K59*$C$7/$C$5</f>
        <v>0.75317588056916263</v>
      </c>
      <c r="L74" s="6">
        <f>L59*$C$7/$C$5</f>
        <v>0.67475460695124789</v>
      </c>
      <c r="M74" s="6">
        <f>M59*$C$7/$C$5</f>
        <v>0.6884075110800093</v>
      </c>
    </row>
    <row r="75" spans="8:13">
      <c r="H75" s="2" t="s">
        <v>87</v>
      </c>
    </row>
    <row r="76" spans="8:13">
      <c r="H76" s="2" t="s">
        <v>88</v>
      </c>
    </row>
    <row r="77" spans="8:13">
      <c r="H77" s="2" t="s">
        <v>89</v>
      </c>
      <c r="I77" s="28"/>
      <c r="J77" s="28">
        <f>(J15-J16)/$C$6</f>
        <v>0.15368094534313714</v>
      </c>
      <c r="K77" s="28">
        <f>(K15-K16)/$C$6</f>
        <v>0.16234413427201397</v>
      </c>
      <c r="L77" s="28">
        <f>(L15-L16)/$C$6</f>
        <v>0.12674053526725393</v>
      </c>
      <c r="M77" s="28">
        <f>(M15-M16)/$C$6</f>
        <v>0.12486154130978214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Normal="100" workbookViewId="0">
      <selection activeCell="G11" sqref="G11:G27"/>
    </sheetView>
  </sheetViews>
  <sheetFormatPr defaultRowHeight="15"/>
  <cols>
    <col min="1" max="1" width="25"/>
    <col min="2" max="6" width="15.140625"/>
    <col min="7" max="7" width="22.5703125"/>
    <col min="8" max="12" width="15.140625"/>
    <col min="13" max="13" width="32.140625"/>
    <col min="14" max="26" width="15.140625"/>
    <col min="27" max="1025" width="14.42578125"/>
  </cols>
  <sheetData>
    <row r="1" spans="1:17">
      <c r="A1" s="2"/>
      <c r="B1" s="1">
        <v>5110</v>
      </c>
      <c r="G1" s="6"/>
      <c r="M1" s="6"/>
    </row>
    <row r="2" spans="1:17">
      <c r="A2" s="2"/>
      <c r="B2" t="str">
        <f ca="1">IFERROR(__xludf.dummyfunction("GoogleFinance(""TADAWUL:""&amp;B1,""eps"")"),"2.42")</f>
        <v>2.42</v>
      </c>
      <c r="G2" s="6"/>
      <c r="M2" s="6"/>
    </row>
    <row r="3" spans="1:17">
      <c r="A3" s="2"/>
      <c r="G3" s="6"/>
      <c r="M3" s="6"/>
    </row>
    <row r="4" spans="1:17">
      <c r="A4" s="2" t="str">
        <f ca="1">IFERROR(__xludf.dummyfunction("GOOGLEFINANCE(""TADAWUL:1301"")"),"15.56")</f>
        <v>15.56</v>
      </c>
      <c r="G4" s="6"/>
      <c r="M4" s="6"/>
    </row>
    <row r="5" spans="1:17">
      <c r="A5" s="2" t="s">
        <v>0</v>
      </c>
      <c r="B5" s="3" t="str">
        <f ca="1">IFERROR(__xludf.dummyfunction("GoogleFinance(""TADAWUL:""&amp;B1,""marketcap"")/1000"),"101,750,840.75")</f>
        <v>101,750,840.75</v>
      </c>
      <c r="C5" s="6">
        <f ca="1">H11/1000/B7</f>
        <v>11.95981993692401</v>
      </c>
      <c r="D5" s="6">
        <f ca="1">100/C5</f>
        <v>8.3613298968880105</v>
      </c>
      <c r="G5" s="6"/>
      <c r="M5" s="6"/>
    </row>
    <row r="6" spans="1:17">
      <c r="A6" s="2" t="s">
        <v>1</v>
      </c>
      <c r="B6" s="4">
        <f ca="1">B5+(B22-B20)-N23</f>
        <v>441475846.75</v>
      </c>
      <c r="C6" s="28">
        <f ca="1">H20/B6</f>
        <v>4.7671554751936157E-3</v>
      </c>
      <c r="G6" s="6"/>
      <c r="M6" s="6"/>
    </row>
    <row r="7" spans="1:17">
      <c r="A7" s="2" t="s">
        <v>2</v>
      </c>
      <c r="B7" s="5" t="str">
        <f ca="1">IFERROR(__xludf.dummyfunction("GoogleFinance(""TADAWUL:""&amp;B1,""shares"")/1000000"),"4173.5375")</f>
        <v>4173.5375</v>
      </c>
      <c r="G7" s="6"/>
      <c r="M7" s="6"/>
    </row>
    <row r="8" spans="1:17">
      <c r="A8" s="6"/>
      <c r="G8" s="6"/>
      <c r="M8" s="6"/>
    </row>
    <row r="9" spans="1:17">
      <c r="A9" s="6"/>
      <c r="G9" s="6"/>
      <c r="M9" s="6"/>
    </row>
    <row r="10" spans="1:17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G10" s="7" t="s">
        <v>4</v>
      </c>
      <c r="H10" s="8">
        <v>42735</v>
      </c>
      <c r="I10" s="8">
        <v>42369</v>
      </c>
      <c r="J10" s="8">
        <v>42004</v>
      </c>
      <c r="K10" s="8">
        <v>41639</v>
      </c>
      <c r="M10" s="7" t="s">
        <v>5</v>
      </c>
      <c r="N10" s="8">
        <v>42735</v>
      </c>
      <c r="O10" s="8">
        <v>42369</v>
      </c>
      <c r="P10" s="8">
        <v>42004</v>
      </c>
      <c r="Q10" s="8">
        <v>41639</v>
      </c>
    </row>
    <row r="11" spans="1:17">
      <c r="A11" s="10" t="s">
        <v>6</v>
      </c>
      <c r="B11" s="11">
        <v>37790249</v>
      </c>
      <c r="C11" s="11">
        <v>31392507</v>
      </c>
      <c r="D11" s="11">
        <v>32355286</v>
      </c>
      <c r="E11" s="11">
        <v>29160083</v>
      </c>
      <c r="G11" s="10" t="s">
        <v>7</v>
      </c>
      <c r="H11" s="11">
        <v>49914757</v>
      </c>
      <c r="I11" s="11">
        <v>41538732</v>
      </c>
      <c r="J11" s="11">
        <v>38490670</v>
      </c>
      <c r="K11" s="11">
        <v>35672129</v>
      </c>
      <c r="M11" s="10" t="s">
        <v>8</v>
      </c>
      <c r="N11" s="11">
        <v>2104584</v>
      </c>
      <c r="O11" s="11">
        <v>1543642</v>
      </c>
      <c r="P11" s="11">
        <v>3606594</v>
      </c>
      <c r="Q11" s="11">
        <v>3035869</v>
      </c>
    </row>
    <row r="12" spans="1:17">
      <c r="A12" s="10" t="s">
        <v>9</v>
      </c>
      <c r="B12" s="11">
        <v>6930273</v>
      </c>
      <c r="C12" s="11">
        <v>6495066</v>
      </c>
      <c r="D12" s="11">
        <v>6602409</v>
      </c>
      <c r="E12" s="11">
        <v>6638256</v>
      </c>
      <c r="G12" s="10" t="s">
        <v>10</v>
      </c>
      <c r="H12" s="11">
        <v>46907873</v>
      </c>
      <c r="I12" s="11">
        <v>38953467</v>
      </c>
      <c r="J12" s="11">
        <v>36462927</v>
      </c>
      <c r="K12" s="11">
        <v>33123441</v>
      </c>
      <c r="M12" s="10" t="s">
        <v>11</v>
      </c>
      <c r="N12" s="11">
        <v>17365791</v>
      </c>
      <c r="O12" s="11">
        <v>14933508</v>
      </c>
      <c r="P12" s="11">
        <v>13559970</v>
      </c>
      <c r="Q12" s="11">
        <v>11730666</v>
      </c>
    </row>
    <row r="13" spans="1:17">
      <c r="A13" s="10" t="s">
        <v>12</v>
      </c>
      <c r="B13" s="11">
        <v>3674338</v>
      </c>
      <c r="C13" s="11">
        <v>4432372</v>
      </c>
      <c r="D13" s="11">
        <v>4503355</v>
      </c>
      <c r="E13" s="11">
        <v>3244657</v>
      </c>
      <c r="G13" s="10" t="s">
        <v>13</v>
      </c>
      <c r="H13" s="11">
        <v>3006884</v>
      </c>
      <c r="I13" s="11">
        <v>2585265</v>
      </c>
      <c r="J13" s="11">
        <v>2027743</v>
      </c>
      <c r="K13" s="11">
        <v>2548688</v>
      </c>
      <c r="M13" s="10" t="s">
        <v>14</v>
      </c>
      <c r="N13" s="13">
        <v>-8716503</v>
      </c>
      <c r="O13" s="13">
        <v>-4905068</v>
      </c>
      <c r="P13" s="11">
        <v>5243150</v>
      </c>
      <c r="Q13" s="13">
        <v>-5156064</v>
      </c>
    </row>
    <row r="14" spans="1:17">
      <c r="A14" s="10" t="s">
        <v>15</v>
      </c>
      <c r="B14" s="11">
        <v>354575915</v>
      </c>
      <c r="C14" s="11">
        <v>315710004</v>
      </c>
      <c r="D14" s="11">
        <v>274447143</v>
      </c>
      <c r="E14" s="11">
        <v>237744648</v>
      </c>
      <c r="G14" s="10" t="s">
        <v>16</v>
      </c>
      <c r="H14" s="11">
        <v>191989</v>
      </c>
      <c r="I14" s="11">
        <v>201513</v>
      </c>
      <c r="J14" s="11">
        <v>3045585</v>
      </c>
      <c r="K14" s="11">
        <v>1147760</v>
      </c>
      <c r="M14" s="10" t="s">
        <v>9</v>
      </c>
      <c r="N14" s="13">
        <v>-435206</v>
      </c>
      <c r="O14" s="11">
        <v>107343</v>
      </c>
      <c r="P14" s="11">
        <v>35847</v>
      </c>
      <c r="Q14" s="13">
        <v>-816783</v>
      </c>
    </row>
    <row r="15" spans="1:17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G15" s="10" t="s">
        <v>18</v>
      </c>
      <c r="H15" s="11">
        <v>3198873</v>
      </c>
      <c r="I15" s="11">
        <v>2786778</v>
      </c>
      <c r="J15" s="11">
        <v>5073328</v>
      </c>
      <c r="K15" s="11">
        <v>3696448</v>
      </c>
      <c r="M15" s="10" t="s">
        <v>19</v>
      </c>
      <c r="N15" s="11">
        <v>1421670</v>
      </c>
      <c r="O15" s="11">
        <v>726210</v>
      </c>
      <c r="P15" s="13">
        <v>-2851808</v>
      </c>
      <c r="Q15" s="13">
        <v>-1302847</v>
      </c>
    </row>
    <row r="16" spans="1:17">
      <c r="A16" s="10" t="s">
        <v>20</v>
      </c>
      <c r="B16" s="11">
        <v>402970775</v>
      </c>
      <c r="C16" s="11">
        <v>358029949</v>
      </c>
      <c r="D16" s="11">
        <v>317908193</v>
      </c>
      <c r="E16" s="11">
        <v>276787644</v>
      </c>
      <c r="G16" s="10" t="s">
        <v>21</v>
      </c>
      <c r="H16" s="11">
        <v>532429</v>
      </c>
      <c r="I16" s="11">
        <v>607762</v>
      </c>
      <c r="J16" s="11">
        <v>589340</v>
      </c>
      <c r="K16" s="11">
        <v>370329</v>
      </c>
      <c r="M16" s="10" t="s">
        <v>22</v>
      </c>
      <c r="N16" s="11">
        <v>13874822</v>
      </c>
      <c r="O16" s="11">
        <v>14636133</v>
      </c>
      <c r="P16" s="11">
        <v>11760006</v>
      </c>
      <c r="Q16" s="13">
        <v>-6528651</v>
      </c>
    </row>
    <row r="17" spans="1:26">
      <c r="A17" s="10" t="s">
        <v>23</v>
      </c>
      <c r="B17" s="11">
        <v>94703587</v>
      </c>
      <c r="C17" s="11">
        <v>62691531</v>
      </c>
      <c r="D17" s="11">
        <v>46949382</v>
      </c>
      <c r="E17" s="11">
        <v>41743868</v>
      </c>
      <c r="G17" s="10" t="s">
        <v>11</v>
      </c>
      <c r="H17" s="11">
        <v>451603</v>
      </c>
      <c r="I17" s="11">
        <v>384659</v>
      </c>
      <c r="J17" s="11">
        <v>340155</v>
      </c>
      <c r="K17" s="11">
        <v>290250</v>
      </c>
      <c r="M17" s="10" t="s">
        <v>24</v>
      </c>
      <c r="N17" s="11">
        <v>6102169</v>
      </c>
      <c r="O17" s="11">
        <v>3938009</v>
      </c>
      <c r="P17" s="13">
        <v>-272719</v>
      </c>
      <c r="Q17" s="11">
        <v>1823539</v>
      </c>
    </row>
    <row r="18" spans="1:26">
      <c r="A18" s="10" t="s">
        <v>25</v>
      </c>
      <c r="B18" s="11">
        <v>203832048</v>
      </c>
      <c r="C18" s="11">
        <v>194997809</v>
      </c>
      <c r="D18" s="11">
        <v>177955708</v>
      </c>
      <c r="E18" s="11">
        <v>150518696</v>
      </c>
      <c r="G18" s="10" t="s">
        <v>26</v>
      </c>
      <c r="H18" s="11">
        <v>110257</v>
      </c>
      <c r="I18" s="11">
        <v>250715</v>
      </c>
      <c r="J18" s="11">
        <v>537239</v>
      </c>
      <c r="K18" s="18" t="s">
        <v>84</v>
      </c>
      <c r="M18" s="10" t="s">
        <v>27</v>
      </c>
      <c r="N18" s="13">
        <v>-56263952</v>
      </c>
      <c r="O18" s="13">
        <v>-56207458</v>
      </c>
      <c r="P18" s="13">
        <v>-50311822</v>
      </c>
      <c r="Q18" s="13">
        <v>-40937537</v>
      </c>
    </row>
    <row r="19" spans="1:26">
      <c r="A19" s="10" t="s">
        <v>28</v>
      </c>
      <c r="B19" s="11">
        <v>42411517</v>
      </c>
      <c r="C19" s="11">
        <v>39991482</v>
      </c>
      <c r="D19" s="11">
        <v>33760607</v>
      </c>
      <c r="E19" s="11">
        <v>28248767</v>
      </c>
      <c r="G19" s="10" t="s">
        <v>29</v>
      </c>
      <c r="H19" s="11">
        <v>1094289</v>
      </c>
      <c r="I19" s="11">
        <v>1243136</v>
      </c>
      <c r="J19" s="11">
        <v>1466734</v>
      </c>
      <c r="K19" s="11">
        <v>660579</v>
      </c>
      <c r="M19" s="10" t="s">
        <v>30</v>
      </c>
      <c r="N19" s="11">
        <v>286110</v>
      </c>
      <c r="O19" s="11">
        <v>174485</v>
      </c>
      <c r="P19" s="13">
        <v>-1152541</v>
      </c>
      <c r="Q19" s="13">
        <v>-701536</v>
      </c>
    </row>
    <row r="20" spans="1:26">
      <c r="A20" s="10" t="s">
        <v>31</v>
      </c>
      <c r="B20" s="11">
        <v>62023623</v>
      </c>
      <c r="C20" s="11">
        <v>60349127</v>
      </c>
      <c r="D20" s="11">
        <v>59242496</v>
      </c>
      <c r="E20" s="11">
        <v>56276313</v>
      </c>
      <c r="G20" s="10" t="s">
        <v>32</v>
      </c>
      <c r="H20" s="11">
        <v>2104584</v>
      </c>
      <c r="I20" s="11">
        <v>1543642</v>
      </c>
      <c r="J20" s="11">
        <v>3606594</v>
      </c>
      <c r="K20" s="11">
        <v>3035869</v>
      </c>
      <c r="M20" s="10" t="s">
        <v>33</v>
      </c>
      <c r="N20" s="11">
        <v>23980661</v>
      </c>
      <c r="O20" s="11">
        <v>20679687</v>
      </c>
      <c r="P20" s="11">
        <v>23870144</v>
      </c>
      <c r="Q20" s="11">
        <v>32850394</v>
      </c>
    </row>
    <row r="21" spans="1:26">
      <c r="A21" s="10" t="s">
        <v>34</v>
      </c>
      <c r="B21" s="18" t="s">
        <v>84</v>
      </c>
      <c r="C21" s="15" t="s">
        <v>84</v>
      </c>
      <c r="D21" s="18" t="s">
        <v>84</v>
      </c>
      <c r="E21" s="15" t="s">
        <v>84</v>
      </c>
      <c r="G21" s="10" t="s">
        <v>35</v>
      </c>
      <c r="H21" s="18" t="s">
        <v>84</v>
      </c>
      <c r="I21" s="18" t="s">
        <v>84</v>
      </c>
      <c r="J21" s="18" t="s">
        <v>84</v>
      </c>
      <c r="K21" s="18" t="s">
        <v>84</v>
      </c>
      <c r="M21" s="10" t="s">
        <v>36</v>
      </c>
      <c r="N21" s="13">
        <v>-536229</v>
      </c>
      <c r="O21" s="13">
        <v>-531769</v>
      </c>
      <c r="P21" s="13">
        <v>-530456</v>
      </c>
      <c r="Q21" s="11">
        <v>6949306</v>
      </c>
    </row>
    <row r="22" spans="1:26">
      <c r="A22" s="10" t="s">
        <v>37</v>
      </c>
      <c r="B22" s="11">
        <v>402970775</v>
      </c>
      <c r="C22" s="11">
        <v>358029949</v>
      </c>
      <c r="D22" s="11">
        <v>317908193</v>
      </c>
      <c r="E22" s="11">
        <v>276787644</v>
      </c>
      <c r="G22" s="10" t="s">
        <v>8</v>
      </c>
      <c r="H22" s="11">
        <v>2104584</v>
      </c>
      <c r="I22" s="11">
        <v>1543642</v>
      </c>
      <c r="J22" s="11">
        <v>3606594</v>
      </c>
      <c r="K22" s="11">
        <v>3035869</v>
      </c>
      <c r="M22" s="10" t="s">
        <v>38</v>
      </c>
      <c r="N22" s="11">
        <v>2038229</v>
      </c>
      <c r="O22" s="11">
        <v>6943507</v>
      </c>
      <c r="P22" s="11">
        <v>3987142</v>
      </c>
      <c r="Q22" s="11">
        <v>3045786</v>
      </c>
    </row>
    <row r="23" spans="1:26">
      <c r="A23" s="6"/>
      <c r="B23" s="4">
        <f>B11+B12</f>
        <v>44720522</v>
      </c>
      <c r="C23" s="4">
        <f>C11+C12</f>
        <v>37887573</v>
      </c>
      <c r="D23" s="4">
        <f>D11+D12</f>
        <v>38957695</v>
      </c>
      <c r="E23" s="4">
        <f>E11+E12</f>
        <v>35798339</v>
      </c>
      <c r="G23" s="10" t="s">
        <v>39</v>
      </c>
      <c r="H23" s="18" t="s">
        <v>84</v>
      </c>
      <c r="I23" s="11">
        <v>15205107</v>
      </c>
      <c r="J23" s="11">
        <v>12507288</v>
      </c>
      <c r="K23" s="11">
        <v>10323177</v>
      </c>
      <c r="M23" s="10" t="s">
        <v>40</v>
      </c>
      <c r="N23" s="11">
        <v>1222146</v>
      </c>
      <c r="O23" s="11">
        <v>2038229</v>
      </c>
      <c r="P23" s="11">
        <v>6943507</v>
      </c>
      <c r="Q23" s="11">
        <v>3992142</v>
      </c>
    </row>
    <row r="24" spans="1:26">
      <c r="A24" s="6"/>
      <c r="B24" s="6">
        <f>B16/(B22-B20)</f>
        <v>1.1819156506695208</v>
      </c>
      <c r="C24" s="6">
        <f>C16/(C22-C20)</f>
        <v>1.2027309874869938</v>
      </c>
      <c r="D24" s="6">
        <f>D16/(D22-D20)</f>
        <v>1.2290311266128187</v>
      </c>
      <c r="E24" s="6">
        <f>E16/(E22-E20)</f>
        <v>1.2552082595701171</v>
      </c>
      <c r="G24" s="10" t="s">
        <v>41</v>
      </c>
      <c r="H24" s="18" t="s">
        <v>84</v>
      </c>
      <c r="I24" s="11">
        <v>154364</v>
      </c>
      <c r="J24" s="11">
        <v>360660</v>
      </c>
      <c r="K24" s="11">
        <v>303587</v>
      </c>
      <c r="M24" s="2" t="s">
        <v>42</v>
      </c>
      <c r="N24" s="12">
        <f>SUM(N11:N17)</f>
        <v>31717327</v>
      </c>
      <c r="O24" s="12">
        <f>SUM(O11:O17)</f>
        <v>30979777</v>
      </c>
      <c r="P24" s="12">
        <f>SUM(P11:P17)</f>
        <v>31081040</v>
      </c>
      <c r="Q24" s="12">
        <f>SUM(Q11:Q17)</f>
        <v>2785729</v>
      </c>
    </row>
    <row r="25" spans="1:26">
      <c r="A25" s="6"/>
      <c r="B25" s="6">
        <f ca="1">B24/B5*1000</f>
        <v>1.161578265061678E-5</v>
      </c>
      <c r="G25" s="10" t="s">
        <v>43</v>
      </c>
      <c r="H25" s="18" t="s">
        <v>84</v>
      </c>
      <c r="I25" s="11">
        <v>547252</v>
      </c>
      <c r="J25" s="11">
        <v>547252</v>
      </c>
      <c r="K25" s="11">
        <v>547252</v>
      </c>
      <c r="M25" s="2" t="s">
        <v>44</v>
      </c>
      <c r="N25" s="12">
        <f>N18+N19</f>
        <v>-55977842</v>
      </c>
      <c r="O25" s="12">
        <f>O18+O19</f>
        <v>-56032973</v>
      </c>
      <c r="P25" s="12">
        <f>P18+P19</f>
        <v>-51464363</v>
      </c>
      <c r="Q25" s="12">
        <f>Q18+Q19</f>
        <v>-41639073</v>
      </c>
    </row>
    <row r="26" spans="1:26">
      <c r="A26" s="6"/>
      <c r="B26" s="4">
        <f>B23-B17</f>
        <v>-49983065</v>
      </c>
      <c r="C26" s="4">
        <f>C23-C17</f>
        <v>-24803958</v>
      </c>
      <c r="G26" s="10" t="s">
        <v>45</v>
      </c>
      <c r="H26" s="18" t="s">
        <v>84</v>
      </c>
      <c r="I26" s="11">
        <v>866</v>
      </c>
      <c r="J26" s="11">
        <v>863</v>
      </c>
      <c r="K26" s="11">
        <v>919</v>
      </c>
      <c r="M26" s="2" t="s">
        <v>46</v>
      </c>
      <c r="N26" s="12">
        <f>N20+N21</f>
        <v>23444432</v>
      </c>
      <c r="O26" s="12">
        <f>O20+O21</f>
        <v>20147918</v>
      </c>
      <c r="P26" s="12">
        <f>P20+P21</f>
        <v>23339688</v>
      </c>
      <c r="Q26" s="12">
        <f>Q20+Q21</f>
        <v>39799700</v>
      </c>
    </row>
    <row r="27" spans="1:26">
      <c r="A27" s="6"/>
      <c r="B27" s="6">
        <f>B22/90000</f>
        <v>4477.4530555555557</v>
      </c>
      <c r="F27" s="6">
        <f>H20*0.025</f>
        <v>52614.600000000006</v>
      </c>
      <c r="G27" s="10" t="s">
        <v>47</v>
      </c>
      <c r="H27" s="18" t="s">
        <v>84</v>
      </c>
      <c r="I27" s="11">
        <v>16046267</v>
      </c>
      <c r="J27" s="11">
        <v>15205107</v>
      </c>
      <c r="K27" s="11">
        <v>12507288</v>
      </c>
      <c r="M27" s="2" t="s">
        <v>119</v>
      </c>
      <c r="N27" s="12">
        <f>N24+N18</f>
        <v>-24546625</v>
      </c>
      <c r="O27" s="12">
        <f>O24+O18</f>
        <v>-25227681</v>
      </c>
      <c r="P27" s="12">
        <f>P24+P18</f>
        <v>-19230782</v>
      </c>
      <c r="Q27" s="12">
        <f>Q24+Q18</f>
        <v>-38151808</v>
      </c>
    </row>
    <row r="28" spans="1:26">
      <c r="A28" s="6"/>
      <c r="G28" s="6"/>
      <c r="M28" s="2" t="s">
        <v>120</v>
      </c>
      <c r="N28" s="12">
        <f>(C11-B11)+(B17-C17)</f>
        <v>25614314</v>
      </c>
      <c r="O28" s="12">
        <f>(D11-C11)+(C17-D17)</f>
        <v>16704928</v>
      </c>
      <c r="P28" s="12">
        <f>(E11-D11)+(D17-E17)</f>
        <v>2010311</v>
      </c>
      <c r="Q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9.377913075706297E-2</v>
      </c>
      <c r="C30" s="24">
        <f t="shared" si="0"/>
        <v>8.7681231940739124E-2</v>
      </c>
      <c r="D30" s="24">
        <f t="shared" si="0"/>
        <v>0.10177556512360787</v>
      </c>
      <c r="E30" s="24">
        <f t="shared" si="0"/>
        <v>0.10535182343616466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4.2163562971968389E-2</v>
      </c>
      <c r="O30" s="26">
        <f t="shared" ref="O30:O42" si="3">O11/I$11</f>
        <v>3.7161509889131909E-2</v>
      </c>
      <c r="P30" s="26">
        <f t="shared" ref="P30:P42" si="4">P11/J$11</f>
        <v>9.3700473387446886E-2</v>
      </c>
      <c r="Q30" s="26">
        <f t="shared" ref="Q30:Q42" si="5">Q11/K$11</f>
        <v>8.5104788671290121E-2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1.7197954367782625E-2</v>
      </c>
      <c r="C31" s="24">
        <f t="shared" si="0"/>
        <v>1.8141124836458862E-2</v>
      </c>
      <c r="D31" s="24">
        <f t="shared" si="0"/>
        <v>2.0768288283781348E-2</v>
      </c>
      <c r="E31" s="24">
        <f t="shared" si="0"/>
        <v>2.3983209308288341E-2</v>
      </c>
      <c r="F31" s="6"/>
      <c r="G31" s="25" t="s">
        <v>10</v>
      </c>
      <c r="H31" s="24">
        <f t="shared" si="1"/>
        <v>0.93975961858333801</v>
      </c>
      <c r="I31" s="24">
        <f t="shared" si="1"/>
        <v>0.93776254412387938</v>
      </c>
      <c r="J31" s="24">
        <f t="shared" si="1"/>
        <v>0.94731858395813839</v>
      </c>
      <c r="K31" s="24">
        <f t="shared" si="1"/>
        <v>0.92855240011046158</v>
      </c>
      <c r="L31" s="6"/>
      <c r="M31" s="25" t="s">
        <v>11</v>
      </c>
      <c r="N31" s="26">
        <f t="shared" si="2"/>
        <v>0.34790895606283329</v>
      </c>
      <c r="O31" s="26">
        <f t="shared" si="3"/>
        <v>0.35950803698100364</v>
      </c>
      <c r="P31" s="26">
        <f t="shared" si="4"/>
        <v>0.35229238670046531</v>
      </c>
      <c r="Q31" s="26">
        <f t="shared" si="5"/>
        <v>0.32884681483406836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9.1181252536241611E-3</v>
      </c>
      <c r="C32" s="24">
        <f t="shared" si="0"/>
        <v>1.2379891716823946E-2</v>
      </c>
      <c r="D32" s="24">
        <f t="shared" si="0"/>
        <v>1.4165583332418238E-2</v>
      </c>
      <c r="E32" s="24">
        <f t="shared" si="0"/>
        <v>1.1722550013829375E-2</v>
      </c>
      <c r="F32" s="6"/>
      <c r="G32" s="25" t="s">
        <v>13</v>
      </c>
      <c r="H32" s="24">
        <f t="shared" si="1"/>
        <v>6.0240381416662013E-2</v>
      </c>
      <c r="I32" s="24">
        <f t="shared" si="1"/>
        <v>6.2237455876120631E-2</v>
      </c>
      <c r="J32" s="24">
        <f t="shared" si="1"/>
        <v>5.2681416041861572E-2</v>
      </c>
      <c r="K32" s="24">
        <f t="shared" si="1"/>
        <v>7.1447599889538416E-2</v>
      </c>
      <c r="L32" s="6"/>
      <c r="M32" s="25" t="s">
        <v>14</v>
      </c>
      <c r="N32" s="26">
        <f t="shared" si="2"/>
        <v>-0.17462777591003797</v>
      </c>
      <c r="O32" s="26">
        <f t="shared" si="3"/>
        <v>-0.11808420151101387</v>
      </c>
      <c r="P32" s="26">
        <f t="shared" si="4"/>
        <v>0.13621872521314907</v>
      </c>
      <c r="Q32" s="26">
        <f t="shared" si="5"/>
        <v>-0.1445404057604748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0.87990478962153029</v>
      </c>
      <c r="C33" s="24">
        <f t="shared" si="0"/>
        <v>0.88179775150597806</v>
      </c>
      <c r="D33" s="24">
        <f t="shared" si="0"/>
        <v>0.86329056326019249</v>
      </c>
      <c r="E33" s="24">
        <f t="shared" si="0"/>
        <v>0.8589424172417176</v>
      </c>
      <c r="F33" s="6"/>
      <c r="G33" s="25" t="s">
        <v>16</v>
      </c>
      <c r="H33" s="24">
        <f t="shared" si="1"/>
        <v>3.8463374668938088E-3</v>
      </c>
      <c r="I33" s="24">
        <f t="shared" si="1"/>
        <v>4.8512073021391216E-3</v>
      </c>
      <c r="J33" s="24">
        <f t="shared" si="1"/>
        <v>7.9125278931231904E-2</v>
      </c>
      <c r="K33" s="24">
        <f t="shared" si="1"/>
        <v>3.217525928996276E-2</v>
      </c>
      <c r="L33" s="6"/>
      <c r="M33" s="25" t="s">
        <v>9</v>
      </c>
      <c r="N33" s="26">
        <f t="shared" si="2"/>
        <v>-8.7189846481672741E-3</v>
      </c>
      <c r="O33" s="26">
        <f t="shared" si="3"/>
        <v>2.5841665075380734E-3</v>
      </c>
      <c r="P33" s="26">
        <f t="shared" si="4"/>
        <v>9.3131660217917747E-4</v>
      </c>
      <c r="Q33" s="26">
        <f t="shared" si="5"/>
        <v>-2.2896951286535211E-2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 t="e">
        <f t="shared" si="0"/>
        <v>#VALUE!</v>
      </c>
      <c r="C34" s="24" t="e">
        <f t="shared" si="0"/>
        <v>#VALUE!</v>
      </c>
      <c r="D34" s="24" t="e">
        <f t="shared" si="0"/>
        <v>#VALUE!</v>
      </c>
      <c r="E34" s="24" t="e">
        <f t="shared" si="0"/>
        <v>#VALUE!</v>
      </c>
      <c r="F34" s="6"/>
      <c r="G34" s="25" t="s">
        <v>18</v>
      </c>
      <c r="H34" s="24">
        <f t="shared" si="1"/>
        <v>6.4086718883555813E-2</v>
      </c>
      <c r="I34" s="24">
        <f t="shared" si="1"/>
        <v>6.7088663178259747E-2</v>
      </c>
      <c r="J34" s="24">
        <f t="shared" si="1"/>
        <v>0.13180669497309347</v>
      </c>
      <c r="K34" s="24">
        <f t="shared" si="1"/>
        <v>0.10362285917950118</v>
      </c>
      <c r="L34" s="6"/>
      <c r="M34" s="25" t="s">
        <v>19</v>
      </c>
      <c r="N34" s="26">
        <f t="shared" si="2"/>
        <v>2.8481957750490502E-2</v>
      </c>
      <c r="O34" s="26">
        <f t="shared" si="3"/>
        <v>1.7482719501404134E-2</v>
      </c>
      <c r="P34" s="26">
        <f t="shared" si="4"/>
        <v>-7.4090890078037097E-2</v>
      </c>
      <c r="Q34" s="26">
        <f t="shared" si="5"/>
        <v>-3.6522827106842994E-2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1.0666765341560212E-2</v>
      </c>
      <c r="I35" s="24">
        <f t="shared" si="1"/>
        <v>1.4631212141959461E-2</v>
      </c>
      <c r="J35" s="24">
        <f t="shared" si="1"/>
        <v>1.531124295835848E-2</v>
      </c>
      <c r="K35" s="24">
        <f t="shared" si="1"/>
        <v>1.0381466158075399E-2</v>
      </c>
      <c r="L35" s="6"/>
      <c r="M35" s="25" t="s">
        <v>22</v>
      </c>
      <c r="N35" s="26">
        <f t="shared" si="2"/>
        <v>0.27797034051472996</v>
      </c>
      <c r="O35" s="26">
        <f t="shared" si="3"/>
        <v>0.35234905581614767</v>
      </c>
      <c r="P35" s="26">
        <f t="shared" si="4"/>
        <v>0.30552874241991629</v>
      </c>
      <c r="Q35" s="26">
        <f t="shared" si="5"/>
        <v>-0.18301826055854417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0.23501353665163435</v>
      </c>
      <c r="C36" s="24">
        <f t="shared" si="0"/>
        <v>0.17510136002616922</v>
      </c>
      <c r="D36" s="24">
        <f t="shared" si="0"/>
        <v>0.14768220207523874</v>
      </c>
      <c r="E36" s="24">
        <f t="shared" si="0"/>
        <v>0.15081550388860565</v>
      </c>
      <c r="F36" s="6"/>
      <c r="G36" s="25" t="s">
        <v>11</v>
      </c>
      <c r="H36" s="24">
        <f t="shared" si="1"/>
        <v>9.0474846947567033E-3</v>
      </c>
      <c r="I36" s="24">
        <f t="shared" si="1"/>
        <v>9.2602489647493329E-3</v>
      </c>
      <c r="J36" s="24">
        <f t="shared" si="1"/>
        <v>8.8373364246452455E-3</v>
      </c>
      <c r="K36" s="24">
        <f t="shared" si="1"/>
        <v>8.1366043501356483E-3</v>
      </c>
      <c r="L36" s="6"/>
      <c r="M36" s="25" t="s">
        <v>24</v>
      </c>
      <c r="N36" s="26">
        <f t="shared" si="2"/>
        <v>0.1222518022075115</v>
      </c>
      <c r="O36" s="26">
        <f t="shared" si="3"/>
        <v>9.4803303095530214E-2</v>
      </c>
      <c r="P36" s="26">
        <f t="shared" si="4"/>
        <v>-7.0853274312969866E-3</v>
      </c>
      <c r="Q36" s="26">
        <f t="shared" si="5"/>
        <v>5.1119432765002616E-2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0.5058234012131525</v>
      </c>
      <c r="C37" s="24">
        <f t="shared" si="0"/>
        <v>0.54464105459512835</v>
      </c>
      <c r="D37" s="24">
        <f t="shared" si="0"/>
        <v>0.55977075117406616</v>
      </c>
      <c r="E37" s="24">
        <f t="shared" si="0"/>
        <v>0.54380569097947162</v>
      </c>
      <c r="F37" s="6"/>
      <c r="G37" s="25" t="s">
        <v>26</v>
      </c>
      <c r="H37" s="24">
        <f t="shared" si="1"/>
        <v>2.2089058752705138E-3</v>
      </c>
      <c r="I37" s="24">
        <f t="shared" si="1"/>
        <v>6.0356921824190491E-3</v>
      </c>
      <c r="J37" s="24">
        <f t="shared" si="1"/>
        <v>1.3957642202642874E-2</v>
      </c>
      <c r="K37" s="24" t="e">
        <f t="shared" si="1"/>
        <v>#VALUE!</v>
      </c>
      <c r="L37" s="6"/>
      <c r="M37" s="25" t="s">
        <v>27</v>
      </c>
      <c r="N37" s="26">
        <f t="shared" si="2"/>
        <v>-1.1272007594868187</v>
      </c>
      <c r="O37" s="26">
        <f t="shared" si="3"/>
        <v>-1.3531336970035581</v>
      </c>
      <c r="P37" s="26">
        <f t="shared" si="4"/>
        <v>-1.3071173351879819</v>
      </c>
      <c r="Q37" s="26">
        <f t="shared" si="5"/>
        <v>-1.1476056559450096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0.10524712865343647</v>
      </c>
      <c r="C38" s="24">
        <f t="shared" si="0"/>
        <v>0.11169870596495826</v>
      </c>
      <c r="D38" s="24">
        <f t="shared" si="0"/>
        <v>0.10619608976230442</v>
      </c>
      <c r="E38" s="24">
        <f t="shared" si="0"/>
        <v>0.10205934987473646</v>
      </c>
      <c r="F38" s="6"/>
      <c r="G38" s="25" t="s">
        <v>29</v>
      </c>
      <c r="H38" s="24">
        <f t="shared" si="1"/>
        <v>2.192315591158743E-2</v>
      </c>
      <c r="I38" s="24">
        <f t="shared" si="1"/>
        <v>2.9927153289127845E-2</v>
      </c>
      <c r="J38" s="24">
        <f t="shared" si="1"/>
        <v>3.8106221585646596E-2</v>
      </c>
      <c r="K38" s="24">
        <f t="shared" si="1"/>
        <v>1.8518070508211047E-2</v>
      </c>
      <c r="L38" s="6"/>
      <c r="M38" s="25" t="s">
        <v>30</v>
      </c>
      <c r="N38" s="26">
        <f t="shared" si="2"/>
        <v>5.7319722101421833E-3</v>
      </c>
      <c r="O38" s="26">
        <f t="shared" si="3"/>
        <v>4.2005374646486562E-3</v>
      </c>
      <c r="P38" s="26">
        <f t="shared" si="4"/>
        <v>-2.9943386280363526E-2</v>
      </c>
      <c r="Q38" s="26">
        <f t="shared" si="5"/>
        <v>-1.9666221772185227E-2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0.15391593348177668</v>
      </c>
      <c r="C39" s="24">
        <f t="shared" si="0"/>
        <v>0.16855887941374423</v>
      </c>
      <c r="D39" s="24">
        <f t="shared" si="0"/>
        <v>0.18635095698839066</v>
      </c>
      <c r="E39" s="24">
        <f t="shared" si="0"/>
        <v>0.20331945525718625</v>
      </c>
      <c r="F39" s="6"/>
      <c r="G39" s="25" t="s">
        <v>32</v>
      </c>
      <c r="H39" s="24">
        <f t="shared" si="1"/>
        <v>4.2163562971968389E-2</v>
      </c>
      <c r="I39" s="24">
        <f t="shared" si="1"/>
        <v>3.7161509889131909E-2</v>
      </c>
      <c r="J39" s="24">
        <f t="shared" si="1"/>
        <v>9.3700473387446886E-2</v>
      </c>
      <c r="K39" s="24">
        <f t="shared" si="1"/>
        <v>8.5104788671290121E-2</v>
      </c>
      <c r="L39" s="6"/>
      <c r="M39" s="25" t="s">
        <v>33</v>
      </c>
      <c r="N39" s="26">
        <f t="shared" si="2"/>
        <v>0.48043228979357749</v>
      </c>
      <c r="O39" s="26">
        <f t="shared" si="3"/>
        <v>0.49784107516811055</v>
      </c>
      <c r="P39" s="26">
        <f t="shared" si="4"/>
        <v>0.62015402693691746</v>
      </c>
      <c r="Q39" s="26">
        <f t="shared" si="5"/>
        <v>0.92089804900627037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 t="e">
        <f t="shared" si="0"/>
        <v>#VALUE!</v>
      </c>
      <c r="C40" s="24" t="e">
        <f t="shared" si="0"/>
        <v>#VALUE!</v>
      </c>
      <c r="D40" s="24" t="e">
        <f t="shared" si="0"/>
        <v>#VALUE!</v>
      </c>
      <c r="E40" s="24" t="e">
        <f t="shared" si="0"/>
        <v>#VALUE!</v>
      </c>
      <c r="F40" s="6"/>
      <c r="G40" s="25" t="s">
        <v>35</v>
      </c>
      <c r="H40" s="24" t="e">
        <f t="shared" si="1"/>
        <v>#VALUE!</v>
      </c>
      <c r="I40" s="24" t="e">
        <f t="shared" si="1"/>
        <v>#VALUE!</v>
      </c>
      <c r="J40" s="24" t="e">
        <f t="shared" si="1"/>
        <v>#VALUE!</v>
      </c>
      <c r="K40" s="24" t="e">
        <f t="shared" si="1"/>
        <v>#VALUE!</v>
      </c>
      <c r="L40" s="6"/>
      <c r="M40" s="25" t="s">
        <v>36</v>
      </c>
      <c r="N40" s="26">
        <f t="shared" si="2"/>
        <v>-1.0742895132195075E-2</v>
      </c>
      <c r="O40" s="26">
        <f t="shared" si="3"/>
        <v>-1.2801762942595359E-2</v>
      </c>
      <c r="P40" s="26">
        <f t="shared" si="4"/>
        <v>-1.3781417678621859E-2</v>
      </c>
      <c r="Q40" s="26">
        <f t="shared" si="5"/>
        <v>0.19481052000008187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4.2163562971968389E-2</v>
      </c>
      <c r="I41" s="24">
        <f t="shared" si="1"/>
        <v>3.7161509889131909E-2</v>
      </c>
      <c r="J41" s="24">
        <f t="shared" si="1"/>
        <v>9.3700473387446886E-2</v>
      </c>
      <c r="K41" s="24">
        <f t="shared" si="1"/>
        <v>8.5104788671290121E-2</v>
      </c>
      <c r="L41" s="6"/>
      <c r="M41" s="25" t="s">
        <v>38</v>
      </c>
      <c r="N41" s="26">
        <f t="shared" si="2"/>
        <v>4.0834196588395689E-2</v>
      </c>
      <c r="O41" s="26">
        <f t="shared" si="3"/>
        <v>0.16715741347135971</v>
      </c>
      <c r="P41" s="26">
        <f t="shared" si="4"/>
        <v>0.10358723295801295</v>
      </c>
      <c r="Q41" s="26">
        <f t="shared" si="5"/>
        <v>8.5382792824056003E-2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 t="e">
        <f t="shared" si="1"/>
        <v>#VALUE!</v>
      </c>
      <c r="I42" s="24">
        <f t="shared" si="1"/>
        <v>0.36604648885286145</v>
      </c>
      <c r="J42" s="24">
        <f t="shared" si="1"/>
        <v>0.32494336939315421</v>
      </c>
      <c r="K42" s="24">
        <f t="shared" si="1"/>
        <v>0.28939054913150825</v>
      </c>
      <c r="L42" s="6"/>
      <c r="M42" s="25" t="s">
        <v>40</v>
      </c>
      <c r="N42" s="26">
        <f t="shared" si="2"/>
        <v>2.4484662922429935E-2</v>
      </c>
      <c r="O42" s="26">
        <f t="shared" si="3"/>
        <v>4.9068156437707344E-2</v>
      </c>
      <c r="P42" s="26">
        <f t="shared" si="4"/>
        <v>0.18039454756178575</v>
      </c>
      <c r="Q42" s="26">
        <f t="shared" si="5"/>
        <v>0.11191207567117735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 t="e">
        <f t="shared" si="1"/>
        <v>#VALUE!</v>
      </c>
      <c r="I43" s="24">
        <f t="shared" si="1"/>
        <v>3.7161461741297254E-3</v>
      </c>
      <c r="J43" s="24">
        <f t="shared" si="1"/>
        <v>9.3700629269378791E-3</v>
      </c>
      <c r="K43" s="24">
        <f t="shared" si="1"/>
        <v>8.5104816704380058E-3</v>
      </c>
      <c r="L43" s="6"/>
      <c r="M43" s="2" t="s">
        <v>49</v>
      </c>
      <c r="N43" s="26">
        <f>N24/H11</f>
        <v>0.63542985894932835</v>
      </c>
      <c r="O43" s="26">
        <f>O24/I11</f>
        <v>0.74580459027974177</v>
      </c>
      <c r="P43" s="26">
        <f>P24/J11</f>
        <v>0.80749542681382269</v>
      </c>
      <c r="Q43" s="26">
        <f>Q24/K11</f>
        <v>7.8092591557963928E-2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 t="e">
        <f t="shared" si="1"/>
        <v>#VALUE!</v>
      </c>
      <c r="I44" s="24">
        <f t="shared" si="1"/>
        <v>1.3174499404555728E-2</v>
      </c>
      <c r="J44" s="24">
        <f t="shared" si="1"/>
        <v>1.4217783166673898E-2</v>
      </c>
      <c r="K44" s="24">
        <f t="shared" si="1"/>
        <v>1.5341164526513122E-2</v>
      </c>
      <c r="L44" s="6"/>
      <c r="M44" s="2" t="s">
        <v>50</v>
      </c>
      <c r="N44" s="26">
        <f>N24/B16</f>
        <v>7.8708752514372787E-2</v>
      </c>
      <c r="O44" s="26">
        <f>O24/C16</f>
        <v>8.6528451283275187E-2</v>
      </c>
      <c r="P44" s="26">
        <f>P24/D16</f>
        <v>9.7767345052349755E-2</v>
      </c>
      <c r="Q44" s="26">
        <f>Q24/E16</f>
        <v>1.0064499121933348E-2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 t="e">
        <f t="shared" si="1"/>
        <v>#VALUE!</v>
      </c>
      <c r="I45" s="24">
        <f t="shared" si="1"/>
        <v>2.0848012404422939E-5</v>
      </c>
      <c r="J45" s="24">
        <f t="shared" si="1"/>
        <v>2.2421017872642901E-5</v>
      </c>
      <c r="K45" s="24">
        <f t="shared" si="1"/>
        <v>2.5762409639189182E-5</v>
      </c>
      <c r="L45" s="6"/>
      <c r="M45" s="2" t="s">
        <v>51</v>
      </c>
      <c r="N45" s="26">
        <f>N24/B20</f>
        <v>0.51137494821932605</v>
      </c>
      <c r="O45" s="26">
        <f>O24/C20</f>
        <v>0.51334258737495908</v>
      </c>
      <c r="P45" s="26">
        <f>P24/D20</f>
        <v>0.52464096043488784</v>
      </c>
      <c r="Q45" s="26">
        <f>Q24/E20</f>
        <v>4.9500915242972648E-2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 t="e">
        <f t="shared" si="1"/>
        <v>#VALUE!</v>
      </c>
      <c r="I46" s="24">
        <f t="shared" si="1"/>
        <v>0.38629650515090352</v>
      </c>
      <c r="J46" s="24">
        <f t="shared" si="1"/>
        <v>0.39503357566911668</v>
      </c>
      <c r="K46" s="24">
        <f t="shared" si="1"/>
        <v>0.35061792919620804</v>
      </c>
      <c r="L46" s="6"/>
      <c r="M46" s="2" t="s">
        <v>52</v>
      </c>
      <c r="N46" s="26">
        <f>N24/H22</f>
        <v>15.070592098010819</v>
      </c>
      <c r="O46" s="26">
        <f>O24/I22</f>
        <v>20.069275777673838</v>
      </c>
      <c r="P46" s="26">
        <f>P24/J22</f>
        <v>8.6178372170529869</v>
      </c>
      <c r="Q46" s="26">
        <f>Q24/K22</f>
        <v>0.91760514040625596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9.3027106441411184E-2</v>
      </c>
      <c r="O47" s="26">
        <f>O24/(C22-C20)</f>
        <v>0.10407044965765379</v>
      </c>
      <c r="P47" s="26">
        <f>P24/(D22-D20)</f>
        <v>0.1201591102356336</v>
      </c>
      <c r="Q47" s="26">
        <f>Q24/(E22-E20)</f>
        <v>1.2633042426286928E-2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 t="e">
        <f>N24/H25</f>
        <v>#VALUE!</v>
      </c>
      <c r="O48" s="26">
        <f>O24/I25</f>
        <v>56.609709969081884</v>
      </c>
      <c r="P48" s="26">
        <f>P24/J25</f>
        <v>56.794749037006717</v>
      </c>
      <c r="Q48" s="26">
        <f>Q24/K25</f>
        <v>5.0903952840738818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0.56372376757324116</v>
      </c>
      <c r="O49" s="26">
        <f>O24/(O18*-1)</f>
        <v>0.55116844102787921</v>
      </c>
      <c r="P49" s="26">
        <f>P24/(P18*-1)</f>
        <v>0.61776812614736953</v>
      </c>
      <c r="Q49" s="26">
        <f>Q24/(Q18*-1)</f>
        <v>6.8048280481554133E-2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G50" s="2" t="s">
        <v>56</v>
      </c>
      <c r="H50" s="28">
        <f>LN(H22/I22)</f>
        <v>0.30997326346822285</v>
      </c>
      <c r="I50" s="28">
        <f>LN(I15/J15)</f>
        <v>-0.59911092273297561</v>
      </c>
      <c r="J50" s="28">
        <f>LN(J22/K22)</f>
        <v>0.17226612695060942</v>
      </c>
      <c r="M50" s="2" t="s">
        <v>121</v>
      </c>
      <c r="N50" s="32">
        <f ca="1">(H15-H16-N28-N25)/($B$6)</f>
        <v>7.4817166653976183E-2</v>
      </c>
      <c r="O50" s="32">
        <f ca="1">(I15-I16-O28-O25)/($B$6)</f>
        <v>9.4018871713053689E-2</v>
      </c>
      <c r="P50" s="32">
        <f ca="1">(J15-J16-P28-P25)/($B$6)</f>
        <v>0.12217664997320717</v>
      </c>
    </row>
    <row r="51" spans="1:26">
      <c r="A51" s="29" t="s">
        <v>57</v>
      </c>
      <c r="B51" s="30">
        <f>B23/B17</f>
        <v>0.47221571449030753</v>
      </c>
      <c r="C51" s="30">
        <f>C23/C17</f>
        <v>0.60434914247029636</v>
      </c>
      <c r="D51" s="30">
        <f>D23/D17</f>
        <v>0.82978078390893406</v>
      </c>
      <c r="E51" s="30">
        <f>E23/E17</f>
        <v>0.85757120063718106</v>
      </c>
      <c r="G51" s="29" t="s">
        <v>58</v>
      </c>
      <c r="H51" s="63">
        <f>H13/H11</f>
        <v>6.0240381416662013E-2</v>
      </c>
      <c r="I51" s="63">
        <f>I13/I11</f>
        <v>6.2237455876120631E-2</v>
      </c>
      <c r="J51" s="63">
        <f>J13/J11</f>
        <v>5.2681416041861572E-2</v>
      </c>
      <c r="K51" s="63">
        <f>K13/K11</f>
        <v>7.1447599889538416E-2</v>
      </c>
      <c r="M51" s="2" t="s">
        <v>59</v>
      </c>
      <c r="N51" s="32">
        <f>(N11-N24-N25)/B16</f>
        <v>6.5426826548401679E-2</v>
      </c>
      <c r="O51" s="32">
        <f>(O11-O24-O25)/C16</f>
        <v>7.4286629021640863E-2</v>
      </c>
      <c r="P51" s="32">
        <f>(P11-P24-P25)/D16</f>
        <v>7.5461776475826775E-2</v>
      </c>
      <c r="Q51" s="32">
        <f>(Q11-Q24-Q25)/E16</f>
        <v>0.15134061764693513</v>
      </c>
    </row>
    <row r="52" spans="1:26">
      <c r="A52" s="29" t="s">
        <v>60</v>
      </c>
      <c r="B52" s="31">
        <f>H20/B16</f>
        <v>5.2226715448533455E-3</v>
      </c>
      <c r="C52" s="31">
        <f>I20/C16</f>
        <v>4.3114884783004561E-3</v>
      </c>
      <c r="D52" s="31">
        <f>J20/D16</f>
        <v>1.1344765814198441E-2</v>
      </c>
      <c r="E52" s="31">
        <f>K20/E16</f>
        <v>1.0968224434180307E-2</v>
      </c>
      <c r="F52" s="31"/>
      <c r="G52" s="29" t="s">
        <v>61</v>
      </c>
      <c r="H52" s="63">
        <f>H16/H11</f>
        <v>1.0666765341560212E-2</v>
      </c>
      <c r="I52" s="63">
        <f>I16/I11</f>
        <v>1.4631212141959461E-2</v>
      </c>
      <c r="J52" s="63">
        <f>J16/J11</f>
        <v>1.531124295835848E-2</v>
      </c>
      <c r="K52" s="63">
        <f>K16/K11</f>
        <v>1.0381466158075399E-2</v>
      </c>
      <c r="M52" s="6"/>
      <c r="N52" s="4">
        <f>N24+N18</f>
        <v>-24546625</v>
      </c>
      <c r="O52" s="4">
        <f>O24+O18</f>
        <v>-25227681</v>
      </c>
      <c r="P52" s="4">
        <f>P24+P18</f>
        <v>-19230782</v>
      </c>
      <c r="Q52" s="4">
        <f>Q24+Q18</f>
        <v>-38151808</v>
      </c>
      <c r="R52" s="4">
        <f>AVERAGE(N52:Q52)</f>
        <v>-26789224</v>
      </c>
    </row>
    <row r="53" spans="1:26">
      <c r="A53" s="29" t="s">
        <v>62</v>
      </c>
      <c r="B53" s="31">
        <f>H20/B20</f>
        <v>3.3931974596195388E-2</v>
      </c>
      <c r="C53" s="31">
        <f>I20/C20</f>
        <v>2.5578530738315404E-2</v>
      </c>
      <c r="D53" s="31">
        <f>J20/D20</f>
        <v>6.0878495058682203E-2</v>
      </c>
      <c r="E53" s="31">
        <f>K20/E20</f>
        <v>5.3945769332827471E-2</v>
      </c>
      <c r="G53" s="29" t="s">
        <v>11</v>
      </c>
      <c r="H53" s="71">
        <f>H17/H11</f>
        <v>9.0474846947567033E-3</v>
      </c>
      <c r="I53" s="71">
        <f>I17/I11</f>
        <v>9.2602489647493329E-3</v>
      </c>
      <c r="J53" s="71">
        <f>J17/J11</f>
        <v>8.8373364246452455E-3</v>
      </c>
      <c r="K53" s="71">
        <f>K17/K11</f>
        <v>8.1366043501356483E-3</v>
      </c>
      <c r="M53" s="6"/>
      <c r="N53" s="28">
        <f>LN(N52/O52)</f>
        <v>-2.7367473792659292E-2</v>
      </c>
      <c r="O53" s="28">
        <f>LN(O52/P52)</f>
        <v>0.2714296196404572</v>
      </c>
      <c r="P53" s="28">
        <f>LN(P52/Q52)</f>
        <v>-0.68506092408119812</v>
      </c>
    </row>
    <row r="54" spans="1:26">
      <c r="A54" s="29" t="s">
        <v>63</v>
      </c>
      <c r="B54" s="30">
        <f>H11/B12</f>
        <v>7.2024229059951894</v>
      </c>
      <c r="C54" s="30">
        <f>I11/C12</f>
        <v>6.3954287762433824</v>
      </c>
      <c r="D54" s="30">
        <f>J11/D12</f>
        <v>5.8297918229543191</v>
      </c>
      <c r="E54" s="30">
        <f>K11/E12</f>
        <v>5.3737199951312515</v>
      </c>
      <c r="G54" s="29" t="s">
        <v>64</v>
      </c>
      <c r="H54" s="63" t="e">
        <f>H25/H22</f>
        <v>#VALUE!</v>
      </c>
      <c r="I54" s="63">
        <f>I25/I22</f>
        <v>0.35452002472075778</v>
      </c>
      <c r="J54" s="63">
        <f>J25/J22</f>
        <v>0.15173651373012875</v>
      </c>
      <c r="K54" s="63">
        <f>K25/K22</f>
        <v>0.18026206005595102</v>
      </c>
      <c r="M54" s="6"/>
    </row>
    <row r="55" spans="1:26">
      <c r="A55" s="29" t="s">
        <v>65</v>
      </c>
      <c r="B55" s="31">
        <f>(B22-B20)/B16</f>
        <v>0.84608406651822332</v>
      </c>
      <c r="C55" s="31">
        <f>(C22-C20)/C16</f>
        <v>0.83144112058625574</v>
      </c>
      <c r="D55" s="31">
        <f>(D22-D20)/D16</f>
        <v>0.81364904301160934</v>
      </c>
      <c r="E55" s="31">
        <f>(E22-E20)/E16</f>
        <v>0.79668054474281369</v>
      </c>
      <c r="G55" s="29" t="s">
        <v>66</v>
      </c>
      <c r="H55" s="63">
        <f>H22/H11</f>
        <v>4.2163562971968389E-2</v>
      </c>
      <c r="I55" s="63">
        <f>I22/I11</f>
        <v>3.7161509889131909E-2</v>
      </c>
      <c r="J55" s="63">
        <f>J22/J11</f>
        <v>9.3700473387446886E-2</v>
      </c>
      <c r="K55" s="63">
        <f>K22/K11</f>
        <v>8.5104788671290121E-2</v>
      </c>
      <c r="L55" s="31"/>
      <c r="M55" s="6"/>
    </row>
    <row r="56" spans="1:26">
      <c r="A56" s="29" t="s">
        <v>67</v>
      </c>
      <c r="B56" s="31">
        <f>(B22-B20)/B20</f>
        <v>5.4970531469920747</v>
      </c>
      <c r="C56" s="31">
        <f>(C22-C20)/C20</f>
        <v>4.9326450405819458</v>
      </c>
      <c r="D56" s="31">
        <f>(D22-D20)/D20</f>
        <v>4.3662187528358025</v>
      </c>
      <c r="E56" s="31">
        <f>(E22-E20)/E20</f>
        <v>3.9183684794702169</v>
      </c>
      <c r="G56" s="33" t="s">
        <v>68</v>
      </c>
      <c r="H56" s="34">
        <f>H13/B16</f>
        <v>7.4617917391155723E-3</v>
      </c>
      <c r="I56" s="34">
        <f>I13/C16</f>
        <v>7.2208065476667711E-3</v>
      </c>
      <c r="J56" s="34">
        <f>J13/D16</f>
        <v>6.3783917641908649E-3</v>
      </c>
      <c r="K56" s="34">
        <f>K13/E16</f>
        <v>9.2080988990968105E-3</v>
      </c>
      <c r="M56" s="6"/>
    </row>
    <row r="57" spans="1:26">
      <c r="A57" s="29" t="s">
        <v>69</v>
      </c>
      <c r="B57" s="30">
        <f>H11/B16</f>
        <v>0.1238669404747776</v>
      </c>
      <c r="C57" s="30">
        <f>I11/C16</f>
        <v>0.11602027181251254</v>
      </c>
      <c r="D57" s="30">
        <f>J11/D16</f>
        <v>0.12107479721354648</v>
      </c>
      <c r="E57" s="30">
        <f>K11/E16</f>
        <v>0.12887905140736702</v>
      </c>
      <c r="G57" s="33" t="s">
        <v>70</v>
      </c>
      <c r="H57" s="35" t="e">
        <f ca="1">H25/$B$5</f>
        <v>#VALUE!</v>
      </c>
      <c r="I57" s="35">
        <f ca="1">I25/$B$5</f>
        <v>5.3783535936040901E-3</v>
      </c>
      <c r="J57" s="35">
        <f ca="1">J25/$B$5</f>
        <v>5.3783535936040901E-3</v>
      </c>
      <c r="K57" s="35">
        <f ca="1">K25/$B$5</f>
        <v>5.3783535936040901E-3</v>
      </c>
      <c r="M57" s="6"/>
    </row>
    <row r="58" spans="1:26">
      <c r="A58" s="29" t="s">
        <v>71</v>
      </c>
      <c r="B58" s="30">
        <f>B16/B20</f>
        <v>6.4970531469920747</v>
      </c>
      <c r="C58" s="30">
        <f>C16/C20</f>
        <v>5.9326450405819458</v>
      </c>
      <c r="D58" s="30">
        <f>D16/D20</f>
        <v>5.3662187528358025</v>
      </c>
      <c r="E58" s="30">
        <f>E16/E20</f>
        <v>4.9183684794702165</v>
      </c>
      <c r="G58" s="36" t="s">
        <v>72</v>
      </c>
      <c r="H58" s="37">
        <f ca="1">H22/$B$7/1000</f>
        <v>0.50426862104389858</v>
      </c>
      <c r="I58" s="37">
        <f ca="1">I22/$B$7/1000</f>
        <v>0.36986417397711169</v>
      </c>
      <c r="J58" s="37">
        <f ca="1">J22/$B$7/1000</f>
        <v>0.86415756417667267</v>
      </c>
      <c r="K58" s="37">
        <f ca="1">K22/$B$7/1000</f>
        <v>0.72740906245601</v>
      </c>
      <c r="M58" s="6"/>
    </row>
    <row r="59" spans="1:26">
      <c r="A59" s="6"/>
      <c r="G59" s="36" t="s">
        <v>73</v>
      </c>
      <c r="H59" s="37">
        <f ca="1">B20/$B$7/1000</f>
        <v>14.861163461452064</v>
      </c>
      <c r="I59" s="37">
        <f ca="1">C20/$B$7/1000</f>
        <v>14.459946028998182</v>
      </c>
      <c r="J59" s="37">
        <f ca="1">D20/$B$7/1000</f>
        <v>14.194791828275173</v>
      </c>
      <c r="K59" s="37">
        <f ca="1">E20/$B$7/1000</f>
        <v>13.484079872290591</v>
      </c>
      <c r="L59" s="65"/>
      <c r="M59" s="6"/>
    </row>
    <row r="60" spans="1:26">
      <c r="A60" s="6"/>
      <c r="G60" s="33" t="s">
        <v>74</v>
      </c>
      <c r="H60" s="38">
        <f ca="1">SQRT(22.5*H58*H59)</f>
        <v>12.985199810970336</v>
      </c>
      <c r="I60" s="38">
        <f ca="1">SQRT(22.5*I58*I59)</f>
        <v>10.969724693892875</v>
      </c>
      <c r="J60" s="38">
        <f ca="1">SQRT(22.5*J58*J59)</f>
        <v>16.613159736550337</v>
      </c>
      <c r="K60" s="38">
        <f ca="1">SQRT(22.5*K58*K59)</f>
        <v>14.855636731714302</v>
      </c>
      <c r="M60" s="6"/>
    </row>
    <row r="61" spans="1:26">
      <c r="A61" s="6"/>
      <c r="G61" s="33" t="s">
        <v>75</v>
      </c>
      <c r="H61" s="39">
        <f ca="1">H58-(B20*0.08/1000/$B$7)</f>
        <v>-0.68462445587226661</v>
      </c>
      <c r="I61" s="39">
        <f ca="1">I58-(C20*0.08/1000/$B$7)</f>
        <v>-0.78693150834274272</v>
      </c>
      <c r="J61" s="39">
        <f ca="1">J58-(D20*0.08/1000/$B$7)</f>
        <v>-0.27142578208534107</v>
      </c>
      <c r="K61" s="39">
        <f ca="1">K58-(E20*0.08/1000/$B$7)</f>
        <v>-0.35131732732723753</v>
      </c>
      <c r="M61" s="6"/>
    </row>
    <row r="62" spans="1:26">
      <c r="A62" s="6"/>
      <c r="G62" s="40" t="s">
        <v>76</v>
      </c>
      <c r="H62" s="41" t="e">
        <f ca="1">H25/$B$7/1000</f>
        <v>#VALUE!</v>
      </c>
      <c r="I62" s="41">
        <f ca="1">I25/$B$7/1000</f>
        <v>0.13112425610168829</v>
      </c>
      <c r="J62" s="41">
        <f ca="1">J25/$B$7/1000</f>
        <v>0.13112425610168829</v>
      </c>
      <c r="K62" s="41">
        <f ca="1">K25/$B$7/1000</f>
        <v>0.13112425610168829</v>
      </c>
      <c r="M62" s="6"/>
    </row>
    <row r="63" spans="1:26">
      <c r="A63" s="2"/>
      <c r="G63" s="6"/>
      <c r="M63" s="6"/>
    </row>
    <row r="64" spans="1:26">
      <c r="A64" s="6"/>
      <c r="G64" s="2" t="s">
        <v>85</v>
      </c>
      <c r="H64" s="47" t="e">
        <f ca="1">SUM(H62:J62)</f>
        <v>#VALUE!</v>
      </c>
      <c r="M64" s="6"/>
    </row>
    <row r="65" spans="1:13">
      <c r="A65" s="6"/>
      <c r="G65" s="2" t="s">
        <v>105</v>
      </c>
      <c r="H65" s="6">
        <f>I51/H51</f>
        <v>1.0331517565542214</v>
      </c>
      <c r="I65" s="6">
        <f>J51/I51</f>
        <v>0.84645837944790514</v>
      </c>
      <c r="J65" s="6">
        <f>K51/J51</f>
        <v>1.3562201865030528</v>
      </c>
      <c r="M65" s="6"/>
    </row>
    <row r="66" spans="1:13">
      <c r="A66" s="6"/>
      <c r="G66" s="2" t="s">
        <v>106</v>
      </c>
      <c r="H66" s="6">
        <f>H11/I11</f>
        <v>1.2016437333715435</v>
      </c>
      <c r="I66" s="6">
        <f>I11/J11</f>
        <v>1.0791896321887875</v>
      </c>
      <c r="J66" s="6">
        <f>J11/K11</f>
        <v>1.0790124133045156</v>
      </c>
      <c r="M66" s="6"/>
    </row>
    <row r="67" spans="1:13">
      <c r="A67" s="6"/>
      <c r="G67" s="2" t="s">
        <v>107</v>
      </c>
      <c r="H67" s="6">
        <f>(N13/152738)/(O13/140619)</f>
        <v>1.6360409021859335</v>
      </c>
      <c r="I67" s="6">
        <f>(O13/I11)/(P13/J11)</f>
        <v>-0.86687202017373832</v>
      </c>
      <c r="J67" s="6">
        <f>(P13/J11)/(Q13/K11)</f>
        <v>-0.94242661418070173</v>
      </c>
      <c r="M67" s="6"/>
    </row>
    <row r="68" spans="1:13">
      <c r="A68" s="6"/>
      <c r="G68" s="2" t="s">
        <v>108</v>
      </c>
      <c r="H68" s="6">
        <f t="shared" ref="H68:J69" si="6">H52/I52</f>
        <v>0.72904180720406697</v>
      </c>
      <c r="I68" s="6">
        <f t="shared" si="6"/>
        <v>0.95558617819281699</v>
      </c>
      <c r="J68" s="6">
        <f t="shared" si="6"/>
        <v>1.4748632539199071</v>
      </c>
      <c r="M68" s="6"/>
    </row>
    <row r="69" spans="1:13">
      <c r="A69" s="6"/>
      <c r="G69" s="2" t="s">
        <v>109</v>
      </c>
      <c r="H69" s="6">
        <f t="shared" si="6"/>
        <v>0.97702391471303285</v>
      </c>
      <c r="I69" s="6">
        <f t="shared" si="6"/>
        <v>1.0478552043039444</v>
      </c>
      <c r="J69" s="6">
        <f t="shared" si="6"/>
        <v>1.0861209473086786</v>
      </c>
      <c r="M69" s="6"/>
    </row>
    <row r="70" spans="1:13">
      <c r="A70" s="6"/>
      <c r="G70" s="2" t="s">
        <v>110</v>
      </c>
      <c r="H70" s="6">
        <f>B58/C58</f>
        <v>1.0951359979485247</v>
      </c>
      <c r="I70" s="6">
        <f>C58/D58</f>
        <v>1.1055540807848754</v>
      </c>
      <c r="J70" s="6">
        <f>D58/E58</f>
        <v>1.0910566736174729</v>
      </c>
      <c r="M70" s="6"/>
    </row>
    <row r="71" spans="1:13">
      <c r="A71" s="6"/>
      <c r="G71" s="2" t="s">
        <v>111</v>
      </c>
      <c r="H71" s="6">
        <f>((1-B11)/B16)/((1-C11)/C16)</f>
        <v>1.0695462322676428</v>
      </c>
      <c r="I71" s="6">
        <f>((1-C11)/C16)/((1-D11)/D16)</f>
        <v>0.86151554895457805</v>
      </c>
      <c r="J71" s="6">
        <f>((1-D11)/D16)/((1-E11)/E16)</f>
        <v>0.96605414266939438</v>
      </c>
      <c r="M71" s="6"/>
    </row>
    <row r="72" spans="1:13">
      <c r="A72" s="6"/>
      <c r="G72" s="2" t="s">
        <v>112</v>
      </c>
      <c r="H72" s="6">
        <f>((H13-H16-H17)-N24)/B16</f>
        <v>-7.3688904611010561E-2</v>
      </c>
      <c r="I72" s="6">
        <f>((I13-I16-I17)-O24)/C16</f>
        <v>-8.2079538547206843E-2</v>
      </c>
      <c r="J72" s="6">
        <f>((J13-J16-J17)-P24)/D16</f>
        <v>-9.4312737639951294E-2</v>
      </c>
      <c r="K72" s="6">
        <f>((K13-K16-K17)-Q24)/E16</f>
        <v>-3.2429915838295153E-3</v>
      </c>
      <c r="M72" s="6"/>
    </row>
    <row r="73" spans="1:13">
      <c r="A73" s="6"/>
      <c r="G73" s="2" t="s">
        <v>113</v>
      </c>
      <c r="H73" s="6">
        <f>-4.84 + 0.92 *H67  + 0.528 *H65 + 0.404 *H71 + 0.892 *H66 + 0.115 *H69 - 0.172 *H68- 0.327 *H70 + 4.697 *H72</f>
        <v>-2.0026390514589525</v>
      </c>
      <c r="I73" s="6">
        <f>-4.84 + 0.92 *I67  + 0.528 *I65 + 0.404 *I71 + 0.892 *I66 + 0.115 *I69 - 0.172 *I68- 0.327 *I70 + 4.697 *I72</f>
        <v>-4.6708040516483926</v>
      </c>
      <c r="J73" s="6">
        <f>-4.84 + 0.92 *J67  + 0.528 *J65 + 0.404 *J71 + 0.892 *J66 + 0.115 *J69 - 0.172 *J68- 0.327 *J70 + 4.697 *J72</f>
        <v>-4.5667183119680619</v>
      </c>
      <c r="M73" s="6"/>
    </row>
    <row r="74" spans="1:13">
      <c r="A74" s="6"/>
      <c r="G74" s="6"/>
      <c r="H74" s="6" t="str">
        <f>IF(H73&gt;-2.22,"CARE","Good")</f>
        <v>CARE</v>
      </c>
      <c r="I74" s="6" t="str">
        <f>IF(I73&gt;-2.22,"CARE","Good")</f>
        <v>Good</v>
      </c>
      <c r="J74" s="6" t="str">
        <f>IF(J73&gt;-2.22,"CARE","Good")</f>
        <v>Good</v>
      </c>
      <c r="M74" s="6"/>
    </row>
    <row r="75" spans="1:13">
      <c r="A75" s="6"/>
      <c r="G75" s="2" t="s">
        <v>86</v>
      </c>
      <c r="H75" s="6">
        <f ca="1">H59*$B$7/$B$5</f>
        <v>6.0956373964900137E-4</v>
      </c>
      <c r="I75" s="6">
        <f ca="1">I59*$B$7/$B$5</f>
        <v>5.9310691248514336E-4</v>
      </c>
      <c r="J75" s="6">
        <f ca="1">J59*$B$7/$B$5</f>
        <v>5.822310220075503E-4</v>
      </c>
      <c r="K75" s="6">
        <f ca="1">K59*$B$7/$B$5</f>
        <v>5.5307958720724382E-4</v>
      </c>
      <c r="M75" s="6"/>
    </row>
    <row r="76" spans="1:13">
      <c r="A76" s="6"/>
      <c r="G76" s="2" t="s">
        <v>87</v>
      </c>
      <c r="M76" s="6"/>
    </row>
    <row r="77" spans="1:13">
      <c r="A77" s="6"/>
      <c r="G77" s="2" t="s">
        <v>88</v>
      </c>
      <c r="M77" s="6"/>
    </row>
    <row r="78" spans="1:13">
      <c r="A78" s="6"/>
      <c r="G78" s="2" t="s">
        <v>89</v>
      </c>
      <c r="H78" s="74">
        <f ca="1">(H15-H16)/$B$6</f>
        <v>6.0398411818664236E-3</v>
      </c>
      <c r="I78" s="74">
        <f ca="1">(I15-I16)/$B$6</f>
        <v>4.9357536002053093E-3</v>
      </c>
      <c r="J78" s="74">
        <f ca="1">(J15-J16)/$B$6</f>
        <v>1.0156813861980548E-2</v>
      </c>
      <c r="K78" s="74">
        <f ca="1">(K15-K16)/$B$6</f>
        <v>7.5340905385556066E-3</v>
      </c>
      <c r="M78" s="6"/>
    </row>
    <row r="79" spans="1:13">
      <c r="A79" s="6"/>
      <c r="G79" s="2" t="s">
        <v>122</v>
      </c>
      <c r="H79" s="74">
        <f ca="1">$B$6/H20</f>
        <v>209.76869858841462</v>
      </c>
      <c r="I79" s="74">
        <f ca="1">$B$6/(I15-I16)</f>
        <v>202.60330660720251</v>
      </c>
      <c r="J79" s="74">
        <f ca="1">$B$6/(J15-J16)</f>
        <v>98.456072306616349</v>
      </c>
      <c r="K79" s="74">
        <f ca="1">$B$6/(K15-K16)</f>
        <v>132.73002161077218</v>
      </c>
      <c r="M79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zoomScaleNormal="100" workbookViewId="0"/>
  </sheetViews>
  <sheetFormatPr defaultRowHeight="15"/>
  <cols>
    <col min="1" max="1" width="27.42578125"/>
    <col min="2" max="6" width="15.140625"/>
    <col min="7" max="7" width="25.42578125"/>
    <col min="8" max="12" width="15.140625"/>
    <col min="13" max="13" width="28.7109375"/>
    <col min="14" max="26" width="15.140625"/>
    <col min="27" max="1025" width="14.42578125"/>
  </cols>
  <sheetData>
    <row r="1" spans="1:17">
      <c r="A1" s="2"/>
      <c r="G1" s="6"/>
      <c r="M1" s="6"/>
    </row>
    <row r="2" spans="1:17">
      <c r="A2" s="2"/>
      <c r="G2" s="6"/>
      <c r="M2" s="6"/>
    </row>
    <row r="3" spans="1:17">
      <c r="A3" s="2"/>
      <c r="G3" s="6"/>
      <c r="M3" s="6"/>
    </row>
    <row r="4" spans="1:17">
      <c r="A4" s="2"/>
      <c r="G4" s="6"/>
      <c r="M4" s="6"/>
    </row>
    <row r="5" spans="1:17">
      <c r="A5" s="2"/>
      <c r="B5" s="2">
        <v>1500</v>
      </c>
      <c r="G5" s="6"/>
      <c r="M5" s="6"/>
    </row>
    <row r="6" spans="1:17">
      <c r="A6" s="2"/>
      <c r="G6" s="6"/>
      <c r="M6" s="6"/>
    </row>
    <row r="7" spans="1:17">
      <c r="A7" s="20" t="s">
        <v>3</v>
      </c>
      <c r="B7" s="9">
        <v>42369</v>
      </c>
      <c r="C7" s="9">
        <v>42004</v>
      </c>
      <c r="D7" s="9">
        <v>41639</v>
      </c>
      <c r="E7" s="9">
        <v>41274</v>
      </c>
      <c r="G7" s="20" t="s">
        <v>4</v>
      </c>
      <c r="H7" s="9">
        <v>42369</v>
      </c>
      <c r="I7" s="9">
        <v>42004</v>
      </c>
      <c r="J7" s="9">
        <v>41639</v>
      </c>
      <c r="K7" s="9">
        <v>41274</v>
      </c>
      <c r="M7" s="20" t="s">
        <v>96</v>
      </c>
      <c r="N7" s="9">
        <v>42369</v>
      </c>
      <c r="O7" s="9">
        <v>42004</v>
      </c>
      <c r="P7" s="9">
        <v>41639</v>
      </c>
      <c r="Q7" s="9">
        <v>41274</v>
      </c>
    </row>
    <row r="8" spans="1:17">
      <c r="A8" s="23" t="s">
        <v>124</v>
      </c>
      <c r="B8" s="12">
        <v>5132787</v>
      </c>
      <c r="C8" s="12">
        <v>6065881</v>
      </c>
      <c r="D8" s="12">
        <v>4972467</v>
      </c>
      <c r="E8" s="12">
        <v>2764956</v>
      </c>
      <c r="G8" s="23" t="s">
        <v>125</v>
      </c>
      <c r="H8" s="17"/>
      <c r="I8" s="17"/>
      <c r="J8" s="17"/>
      <c r="K8" s="17">
        <v>0</v>
      </c>
      <c r="M8" s="23" t="s">
        <v>8</v>
      </c>
      <c r="N8" s="12">
        <v>1469976</v>
      </c>
      <c r="O8" s="12">
        <v>1264431</v>
      </c>
      <c r="P8" s="12">
        <v>1004757</v>
      </c>
      <c r="Q8" s="12">
        <v>733159</v>
      </c>
    </row>
    <row r="9" spans="1:17">
      <c r="A9" s="23" t="s">
        <v>126</v>
      </c>
      <c r="B9" s="12">
        <v>17014688</v>
      </c>
      <c r="C9" s="12">
        <v>10317854</v>
      </c>
      <c r="D9" s="12">
        <v>4972181</v>
      </c>
      <c r="E9" s="12">
        <v>9007813</v>
      </c>
      <c r="G9" s="23" t="s">
        <v>127</v>
      </c>
      <c r="H9" s="17"/>
      <c r="I9" s="17"/>
      <c r="J9" s="17"/>
      <c r="K9" s="17">
        <v>0</v>
      </c>
      <c r="M9" s="23" t="s">
        <v>11</v>
      </c>
      <c r="N9" s="12">
        <v>160659</v>
      </c>
      <c r="O9" s="12">
        <v>153552</v>
      </c>
      <c r="P9" s="12">
        <v>154141</v>
      </c>
      <c r="Q9" s="12">
        <v>150254</v>
      </c>
    </row>
    <row r="10" spans="1:17">
      <c r="A10" s="23" t="s">
        <v>12</v>
      </c>
      <c r="B10" s="12">
        <v>6468138</v>
      </c>
      <c r="C10" s="12">
        <v>8036151</v>
      </c>
      <c r="D10" s="12">
        <v>5399466</v>
      </c>
      <c r="E10" s="12">
        <v>1960243</v>
      </c>
      <c r="G10" s="23" t="s">
        <v>128</v>
      </c>
      <c r="H10" s="17">
        <v>0</v>
      </c>
      <c r="I10" s="17">
        <v>0</v>
      </c>
      <c r="J10" s="17">
        <v>0</v>
      </c>
      <c r="K10" s="17">
        <v>0</v>
      </c>
      <c r="M10" s="23" t="s">
        <v>129</v>
      </c>
      <c r="N10" s="14">
        <v>-54</v>
      </c>
      <c r="O10" s="14">
        <v>-455</v>
      </c>
      <c r="P10" s="12">
        <v>3932</v>
      </c>
      <c r="Q10" s="45">
        <v>0</v>
      </c>
    </row>
    <row r="11" spans="1:17">
      <c r="A11" s="23" t="s">
        <v>130</v>
      </c>
      <c r="B11" s="12">
        <v>56570051</v>
      </c>
      <c r="C11" s="12">
        <v>53636981</v>
      </c>
      <c r="D11" s="12">
        <v>44923623</v>
      </c>
      <c r="E11" s="12">
        <v>37186500</v>
      </c>
      <c r="G11" s="23" t="s">
        <v>131</v>
      </c>
      <c r="H11" s="12">
        <v>620009</v>
      </c>
      <c r="I11" s="12">
        <v>396213</v>
      </c>
      <c r="J11" s="12">
        <v>272598</v>
      </c>
      <c r="K11" s="12">
        <v>242855</v>
      </c>
      <c r="M11" s="23" t="s">
        <v>132</v>
      </c>
      <c r="N11" s="12">
        <v>307765</v>
      </c>
      <c r="O11" s="12">
        <v>161673</v>
      </c>
      <c r="P11" s="12">
        <v>274224</v>
      </c>
      <c r="Q11" s="12">
        <v>154373</v>
      </c>
    </row>
    <row r="12" spans="1:17">
      <c r="A12" s="23" t="s">
        <v>133</v>
      </c>
      <c r="B12" s="12">
        <v>1629004</v>
      </c>
      <c r="C12" s="12">
        <v>1543578</v>
      </c>
      <c r="D12" s="12">
        <v>1474912</v>
      </c>
      <c r="E12" s="12">
        <v>1447824</v>
      </c>
      <c r="G12" s="23" t="s">
        <v>134</v>
      </c>
      <c r="H12" s="12">
        <v>94223</v>
      </c>
      <c r="I12" s="12">
        <v>57487</v>
      </c>
      <c r="J12" s="12">
        <v>30829</v>
      </c>
      <c r="K12" s="12">
        <v>21417</v>
      </c>
      <c r="M12" s="23" t="s">
        <v>135</v>
      </c>
      <c r="N12" s="45"/>
      <c r="O12" s="45"/>
      <c r="P12" s="45"/>
      <c r="Q12" s="45">
        <v>0</v>
      </c>
    </row>
    <row r="13" spans="1:17">
      <c r="A13" s="23" t="s">
        <v>136</v>
      </c>
      <c r="B13" s="12">
        <v>1909862</v>
      </c>
      <c r="C13" s="12">
        <v>1261414</v>
      </c>
      <c r="D13" s="12">
        <v>1258583</v>
      </c>
      <c r="E13" s="12">
        <v>1647117</v>
      </c>
      <c r="G13" s="23" t="s">
        <v>137</v>
      </c>
      <c r="H13" s="12">
        <v>47186</v>
      </c>
      <c r="I13" s="12">
        <v>72068</v>
      </c>
      <c r="J13" s="12">
        <v>111685</v>
      </c>
      <c r="K13" s="12">
        <v>33011</v>
      </c>
      <c r="M13" s="23" t="s">
        <v>138</v>
      </c>
      <c r="N13" s="12">
        <v>20663</v>
      </c>
      <c r="O13" s="12">
        <v>5931</v>
      </c>
      <c r="P13" s="12">
        <v>3952</v>
      </c>
      <c r="Q13" s="12">
        <v>10676</v>
      </c>
    </row>
    <row r="14" spans="1:17">
      <c r="A14" s="23" t="s">
        <v>139</v>
      </c>
      <c r="B14" s="45"/>
      <c r="C14" s="45"/>
      <c r="D14" s="45"/>
      <c r="E14" s="45">
        <v>0</v>
      </c>
      <c r="G14" s="23" t="s">
        <v>140</v>
      </c>
      <c r="H14" s="12">
        <v>2278686</v>
      </c>
      <c r="I14" s="12">
        <v>2074948</v>
      </c>
      <c r="J14" s="12">
        <v>1834835</v>
      </c>
      <c r="K14" s="12">
        <v>1517127</v>
      </c>
      <c r="M14" s="23" t="s">
        <v>126</v>
      </c>
      <c r="N14" s="14">
        <v>-3267576</v>
      </c>
      <c r="O14" s="14">
        <v>-5163062</v>
      </c>
      <c r="P14" s="14">
        <v>-2382896</v>
      </c>
      <c r="Q14" s="12">
        <v>1518324</v>
      </c>
    </row>
    <row r="15" spans="1:17">
      <c r="A15" s="23" t="s">
        <v>20</v>
      </c>
      <c r="B15" s="12">
        <v>88724530</v>
      </c>
      <c r="C15" s="12">
        <v>80861859</v>
      </c>
      <c r="D15" s="12">
        <v>63001232</v>
      </c>
      <c r="E15" s="12">
        <v>54014453</v>
      </c>
      <c r="G15" s="23" t="s">
        <v>141</v>
      </c>
      <c r="H15" s="12">
        <v>22172</v>
      </c>
      <c r="I15" s="12">
        <v>17531</v>
      </c>
      <c r="J15" s="12">
        <v>21707</v>
      </c>
      <c r="K15" s="12">
        <v>11253</v>
      </c>
      <c r="M15" s="23" t="s">
        <v>139</v>
      </c>
      <c r="N15" s="45"/>
      <c r="O15" s="45"/>
      <c r="P15" s="45"/>
      <c r="Q15" s="45">
        <v>0</v>
      </c>
    </row>
    <row r="16" spans="1:17">
      <c r="A16" s="23" t="s">
        <v>142</v>
      </c>
      <c r="B16" s="12">
        <v>2263674</v>
      </c>
      <c r="C16" s="12">
        <v>32657</v>
      </c>
      <c r="D16" s="12">
        <v>200736</v>
      </c>
      <c r="E16" s="12">
        <v>2414532</v>
      </c>
      <c r="G16" s="23" t="s">
        <v>143</v>
      </c>
      <c r="H16" s="12">
        <v>465</v>
      </c>
      <c r="I16" s="12">
        <v>1592</v>
      </c>
      <c r="J16" s="12">
        <v>7421</v>
      </c>
      <c r="K16" s="12">
        <v>391</v>
      </c>
      <c r="M16" s="23" t="s">
        <v>130</v>
      </c>
      <c r="N16" s="14">
        <v>-3129243</v>
      </c>
      <c r="O16" s="14">
        <v>-8857957</v>
      </c>
      <c r="P16" s="14">
        <v>-7970143</v>
      </c>
      <c r="Q16" s="14">
        <v>-12080965</v>
      </c>
    </row>
    <row r="17" spans="1:17">
      <c r="A17" s="23" t="s">
        <v>144</v>
      </c>
      <c r="B17" s="12">
        <v>65541656</v>
      </c>
      <c r="C17" s="12">
        <v>59427825</v>
      </c>
      <c r="D17" s="12">
        <v>42762623</v>
      </c>
      <c r="E17" s="12">
        <v>32213612</v>
      </c>
      <c r="G17" s="23" t="s">
        <v>145</v>
      </c>
      <c r="H17" s="12">
        <v>3062741</v>
      </c>
      <c r="I17" s="12">
        <v>2619839</v>
      </c>
      <c r="J17" s="12">
        <v>2279075</v>
      </c>
      <c r="K17" s="12">
        <v>1826054</v>
      </c>
      <c r="M17" s="23" t="s">
        <v>17</v>
      </c>
      <c r="N17" s="14">
        <v>-648448</v>
      </c>
      <c r="O17" s="14">
        <v>-762</v>
      </c>
      <c r="P17" s="14">
        <v>-450389</v>
      </c>
      <c r="Q17" s="14">
        <v>-347294</v>
      </c>
    </row>
    <row r="18" spans="1:17">
      <c r="A18" s="23" t="s">
        <v>28</v>
      </c>
      <c r="B18" s="12">
        <v>2567039</v>
      </c>
      <c r="C18" s="12">
        <v>3462145</v>
      </c>
      <c r="D18" s="12">
        <v>3205942</v>
      </c>
      <c r="E18" s="12">
        <v>2722112</v>
      </c>
      <c r="G18" s="23" t="s">
        <v>146</v>
      </c>
      <c r="H18" s="12">
        <v>669975</v>
      </c>
      <c r="I18" s="12">
        <v>637027</v>
      </c>
      <c r="J18" s="12">
        <v>492591</v>
      </c>
      <c r="K18" s="12">
        <v>472261</v>
      </c>
      <c r="M18" s="23" t="s">
        <v>147</v>
      </c>
      <c r="N18" s="45"/>
      <c r="O18" s="45"/>
      <c r="P18" s="45"/>
      <c r="Q18" s="45">
        <v>0</v>
      </c>
    </row>
    <row r="19" spans="1:17">
      <c r="A19" s="23" t="s">
        <v>148</v>
      </c>
      <c r="B19" s="12">
        <v>70372369</v>
      </c>
      <c r="C19" s="12">
        <v>62922627</v>
      </c>
      <c r="D19" s="12">
        <v>46169301</v>
      </c>
      <c r="E19" s="12">
        <v>37350256</v>
      </c>
      <c r="G19" s="23" t="s">
        <v>149</v>
      </c>
      <c r="H19" s="12">
        <v>127841</v>
      </c>
      <c r="I19" s="12">
        <v>108492</v>
      </c>
      <c r="J19" s="12">
        <v>92083</v>
      </c>
      <c r="K19" s="12">
        <v>81226</v>
      </c>
      <c r="M19" s="23" t="s">
        <v>142</v>
      </c>
      <c r="N19" s="12">
        <v>2231017</v>
      </c>
      <c r="O19" s="14">
        <v>-168079</v>
      </c>
      <c r="P19" s="14">
        <v>-2213796</v>
      </c>
      <c r="Q19" s="14">
        <v>-28344</v>
      </c>
    </row>
    <row r="20" spans="1:17">
      <c r="A20" s="23" t="s">
        <v>150</v>
      </c>
      <c r="B20" s="12">
        <v>15000000</v>
      </c>
      <c r="C20" s="12">
        <v>15000000</v>
      </c>
      <c r="D20" s="12">
        <v>15000000</v>
      </c>
      <c r="E20" s="12">
        <v>15000000</v>
      </c>
      <c r="G20" s="23" t="s">
        <v>11</v>
      </c>
      <c r="H20" s="12">
        <v>160659</v>
      </c>
      <c r="I20" s="12">
        <v>153552</v>
      </c>
      <c r="J20" s="12">
        <v>154141</v>
      </c>
      <c r="K20" s="12">
        <v>150254</v>
      </c>
      <c r="M20" s="23" t="s">
        <v>151</v>
      </c>
      <c r="N20" s="12">
        <v>6096758</v>
      </c>
      <c r="O20" s="12">
        <v>16648128</v>
      </c>
      <c r="P20" s="12">
        <v>10554420</v>
      </c>
      <c r="Q20" s="12">
        <v>14437328</v>
      </c>
    </row>
    <row r="21" spans="1:17">
      <c r="A21" s="23" t="s">
        <v>152</v>
      </c>
      <c r="B21" s="45"/>
      <c r="C21" s="45"/>
      <c r="D21" s="45"/>
      <c r="E21" s="45">
        <v>0</v>
      </c>
      <c r="G21" s="23" t="s">
        <v>153</v>
      </c>
      <c r="H21" s="12">
        <v>315625</v>
      </c>
      <c r="I21" s="12">
        <v>285866</v>
      </c>
      <c r="J21" s="12">
        <v>250843</v>
      </c>
      <c r="K21" s="12">
        <v>221268</v>
      </c>
      <c r="M21" s="23" t="s">
        <v>28</v>
      </c>
      <c r="N21" s="14">
        <v>-895106</v>
      </c>
      <c r="O21" s="12">
        <v>256203</v>
      </c>
      <c r="P21" s="12">
        <v>481789</v>
      </c>
      <c r="Q21" s="12">
        <v>2051927</v>
      </c>
    </row>
    <row r="22" spans="1:17">
      <c r="A22" s="23" t="s">
        <v>154</v>
      </c>
      <c r="B22" s="12">
        <v>1381050</v>
      </c>
      <c r="C22" s="12">
        <v>1013556</v>
      </c>
      <c r="D22" s="12">
        <v>697448</v>
      </c>
      <c r="E22" s="12">
        <v>446259</v>
      </c>
      <c r="G22" s="23" t="s">
        <v>155</v>
      </c>
      <c r="H22" s="12">
        <v>307765</v>
      </c>
      <c r="I22" s="12">
        <v>161673</v>
      </c>
      <c r="J22" s="12">
        <v>274224</v>
      </c>
      <c r="K22" s="12">
        <v>154373</v>
      </c>
      <c r="M22" s="23" t="s">
        <v>156</v>
      </c>
      <c r="N22" s="12">
        <v>2346411</v>
      </c>
      <c r="O22" s="12">
        <v>4299603</v>
      </c>
      <c r="P22" s="14">
        <v>-540009</v>
      </c>
      <c r="Q22" s="12">
        <v>6599438</v>
      </c>
    </row>
    <row r="23" spans="1:17">
      <c r="A23" s="23" t="s">
        <v>157</v>
      </c>
      <c r="B23" s="12">
        <v>2099759</v>
      </c>
      <c r="C23" s="12">
        <v>2078385</v>
      </c>
      <c r="D23" s="12">
        <v>1197992</v>
      </c>
      <c r="E23" s="12">
        <v>1338775</v>
      </c>
      <c r="G23" s="23" t="s">
        <v>158</v>
      </c>
      <c r="H23" s="12">
        <v>1581865</v>
      </c>
      <c r="I23" s="12">
        <v>1346610</v>
      </c>
      <c r="J23" s="12">
        <v>1263882</v>
      </c>
      <c r="K23" s="12">
        <v>1079382</v>
      </c>
      <c r="M23" s="23" t="s">
        <v>159</v>
      </c>
      <c r="N23" s="12">
        <v>22172</v>
      </c>
      <c r="O23" s="12">
        <v>17531</v>
      </c>
      <c r="P23" s="45"/>
      <c r="Q23" s="45">
        <v>0</v>
      </c>
    </row>
    <row r="24" spans="1:17">
      <c r="A24" s="23" t="s">
        <v>160</v>
      </c>
      <c r="B24" s="14">
        <v>-128648</v>
      </c>
      <c r="C24" s="14">
        <v>-152709</v>
      </c>
      <c r="D24" s="14">
        <v>-63509</v>
      </c>
      <c r="E24" s="14">
        <v>-120837</v>
      </c>
      <c r="G24" s="23" t="s">
        <v>161</v>
      </c>
      <c r="H24" s="14">
        <v>-10900</v>
      </c>
      <c r="I24" s="14">
        <v>-8798</v>
      </c>
      <c r="J24" s="14">
        <v>-10436</v>
      </c>
      <c r="K24" s="14">
        <v>-13513</v>
      </c>
      <c r="M24" s="23" t="s">
        <v>162</v>
      </c>
      <c r="N24" s="45"/>
      <c r="O24" s="45"/>
      <c r="P24" s="45"/>
      <c r="Q24" s="45">
        <v>0</v>
      </c>
    </row>
    <row r="25" spans="1:17">
      <c r="A25" s="23" t="s">
        <v>31</v>
      </c>
      <c r="B25" s="12">
        <v>18352161</v>
      </c>
      <c r="C25" s="12">
        <v>17939232</v>
      </c>
      <c r="D25" s="12">
        <v>16831931</v>
      </c>
      <c r="E25" s="12">
        <v>16664197</v>
      </c>
      <c r="G25" s="23" t="s">
        <v>163</v>
      </c>
      <c r="H25" s="12">
        <v>1469976</v>
      </c>
      <c r="I25" s="12">
        <v>1264431</v>
      </c>
      <c r="J25" s="12">
        <v>1004757</v>
      </c>
      <c r="K25" s="12">
        <v>733159</v>
      </c>
      <c r="M25" s="23" t="s">
        <v>164</v>
      </c>
      <c r="N25" s="17"/>
      <c r="O25" s="17"/>
      <c r="P25" s="17"/>
      <c r="Q25" s="17">
        <v>0</v>
      </c>
    </row>
    <row r="26" spans="1:17">
      <c r="A26" s="23" t="s">
        <v>34</v>
      </c>
      <c r="B26" s="17"/>
      <c r="C26" s="17"/>
      <c r="D26" s="17"/>
      <c r="E26" s="17"/>
      <c r="G26" s="23" t="s">
        <v>165</v>
      </c>
      <c r="H26" s="12">
        <v>1268285</v>
      </c>
      <c r="I26" s="12">
        <v>1197992</v>
      </c>
      <c r="J26" s="12">
        <v>1338775</v>
      </c>
      <c r="K26" s="12">
        <v>788906</v>
      </c>
      <c r="M26" s="23" t="s">
        <v>27</v>
      </c>
      <c r="N26" s="14">
        <v>-246149</v>
      </c>
      <c r="O26" s="14">
        <v>-225437</v>
      </c>
      <c r="P26" s="14">
        <v>-219120</v>
      </c>
      <c r="Q26" s="14">
        <v>-218833</v>
      </c>
    </row>
    <row r="27" spans="1:17">
      <c r="A27" s="23" t="s">
        <v>37</v>
      </c>
      <c r="B27" s="12">
        <v>88724530</v>
      </c>
      <c r="C27" s="12">
        <v>80861859</v>
      </c>
      <c r="D27" s="12">
        <v>63001232</v>
      </c>
      <c r="E27" s="12">
        <v>54014453</v>
      </c>
      <c r="G27" s="23" t="s">
        <v>166</v>
      </c>
      <c r="H27" s="12">
        <v>367494</v>
      </c>
      <c r="I27" s="12">
        <v>316108</v>
      </c>
      <c r="J27" s="12">
        <v>251189</v>
      </c>
      <c r="K27" s="12">
        <v>183290</v>
      </c>
      <c r="M27" s="23" t="s">
        <v>167</v>
      </c>
      <c r="N27" s="12">
        <v>118</v>
      </c>
      <c r="O27" s="12">
        <v>3674</v>
      </c>
      <c r="P27" s="12">
        <v>33959</v>
      </c>
      <c r="Q27" s="45">
        <v>0</v>
      </c>
    </row>
    <row r="28" spans="1:17">
      <c r="A28" s="23" t="s">
        <v>168</v>
      </c>
      <c r="B28" s="12">
        <v>12817737</v>
      </c>
      <c r="C28" s="12">
        <v>8175656</v>
      </c>
      <c r="D28" s="12">
        <v>7792972</v>
      </c>
      <c r="E28" s="12">
        <v>8197272</v>
      </c>
      <c r="G28" s="23" t="s">
        <v>169</v>
      </c>
      <c r="H28" s="12">
        <v>787057</v>
      </c>
      <c r="I28" s="12">
        <v>810100</v>
      </c>
      <c r="J28" s="17"/>
      <c r="K28" s="45">
        <v>0</v>
      </c>
      <c r="M28" s="23" t="s">
        <v>170</v>
      </c>
      <c r="N28" s="14">
        <v>-223859</v>
      </c>
      <c r="O28" s="14">
        <v>-204232</v>
      </c>
      <c r="P28" s="14">
        <v>-185161</v>
      </c>
      <c r="Q28" s="14">
        <v>-218833</v>
      </c>
    </row>
    <row r="29" spans="1:17">
      <c r="A29" s="6"/>
      <c r="G29" s="23" t="s">
        <v>45</v>
      </c>
      <c r="H29" s="12">
        <v>271008</v>
      </c>
      <c r="I29" s="12">
        <v>67930</v>
      </c>
      <c r="J29" s="12">
        <v>894351</v>
      </c>
      <c r="K29" s="45">
        <v>0</v>
      </c>
      <c r="M29" s="23" t="s">
        <v>171</v>
      </c>
      <c r="N29" s="45"/>
      <c r="O29" s="45"/>
      <c r="P29" s="45"/>
      <c r="Q29" s="45">
        <v>0</v>
      </c>
    </row>
    <row r="30" spans="1:17">
      <c r="A30" s="6"/>
      <c r="G30" s="23" t="s">
        <v>172</v>
      </c>
      <c r="H30" s="12">
        <v>1312702</v>
      </c>
      <c r="I30" s="12">
        <v>1268285</v>
      </c>
      <c r="J30" s="12">
        <v>1197992</v>
      </c>
      <c r="K30" s="12">
        <v>1338775</v>
      </c>
      <c r="M30" s="23" t="s">
        <v>173</v>
      </c>
      <c r="N30" s="14">
        <v>-1081108</v>
      </c>
      <c r="O30" s="14">
        <v>-70000</v>
      </c>
      <c r="P30" s="14">
        <v>-100000</v>
      </c>
      <c r="Q30" s="45">
        <v>0</v>
      </c>
    </row>
    <row r="31" spans="1:17">
      <c r="A31" s="6"/>
      <c r="G31" s="6"/>
      <c r="H31" s="28">
        <f>LN(H25/I25)</f>
        <v>0.15062385551024335</v>
      </c>
      <c r="I31" s="28">
        <f>LN(I25/J25)</f>
        <v>0.22987649738641464</v>
      </c>
      <c r="J31" s="28">
        <f>LN(J25/K25)</f>
        <v>0.31513840506826946</v>
      </c>
      <c r="M31" s="23" t="s">
        <v>174</v>
      </c>
      <c r="N31" s="12">
        <v>1041444</v>
      </c>
      <c r="O31" s="12">
        <v>4025371</v>
      </c>
      <c r="P31" s="14">
        <v>-825170</v>
      </c>
      <c r="Q31" s="12">
        <v>6380605</v>
      </c>
    </row>
    <row r="32" spans="1:17">
      <c r="A32" s="6"/>
      <c r="G32" s="6"/>
      <c r="M32" s="23" t="s">
        <v>175</v>
      </c>
      <c r="N32" s="12">
        <v>10066103</v>
      </c>
      <c r="O32" s="12">
        <v>6040732</v>
      </c>
      <c r="P32" s="12">
        <v>6865902</v>
      </c>
      <c r="Q32" s="12">
        <v>485297</v>
      </c>
    </row>
    <row r="33" spans="1:17">
      <c r="A33" s="6"/>
      <c r="G33" s="6"/>
      <c r="M33" s="23" t="s">
        <v>176</v>
      </c>
      <c r="N33" s="12">
        <v>11107547</v>
      </c>
      <c r="O33" s="12">
        <v>10066103</v>
      </c>
      <c r="P33" s="12">
        <v>6040732</v>
      </c>
      <c r="Q33" s="12">
        <v>6865902</v>
      </c>
    </row>
    <row r="34" spans="1:17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118</v>
      </c>
      <c r="N34" s="4">
        <f>N22-N26</f>
        <v>2592560</v>
      </c>
      <c r="O34" s="4">
        <f>O22-O26</f>
        <v>4525040</v>
      </c>
      <c r="P34" s="4">
        <f>P22-P26</f>
        <v>-320889</v>
      </c>
      <c r="Q34" s="4">
        <f>Q22-Q26</f>
        <v>6818271</v>
      </c>
    </row>
    <row r="35" spans="1:17">
      <c r="A35" s="29" t="s">
        <v>60</v>
      </c>
      <c r="B35" s="31">
        <f>H17/B15</f>
        <v>3.4519664403970356E-2</v>
      </c>
      <c r="C35" s="31">
        <f>I17/C15</f>
        <v>3.2398945960418743E-2</v>
      </c>
      <c r="D35" s="31">
        <f>J17/D15</f>
        <v>3.6175086226885214E-2</v>
      </c>
      <c r="E35" s="31">
        <f>K17/E15</f>
        <v>3.3806766496367185E-2</v>
      </c>
      <c r="F35" s="31"/>
      <c r="G35" s="29" t="s">
        <v>61</v>
      </c>
      <c r="H35" s="31">
        <f>H21/H17</f>
        <v>0.1030531148405954</v>
      </c>
      <c r="I35" s="31">
        <f>I21/I17</f>
        <v>0.1091158655169268</v>
      </c>
      <c r="J35" s="31">
        <f>J21/J17</f>
        <v>0.11006351260928228</v>
      </c>
      <c r="K35" s="31">
        <f>K21/K17</f>
        <v>0.12117275830835232</v>
      </c>
      <c r="M35" s="2"/>
    </row>
    <row r="36" spans="1:17">
      <c r="A36" s="29" t="s">
        <v>62</v>
      </c>
      <c r="B36" s="31">
        <f>H17/B25</f>
        <v>0.16688721290097663</v>
      </c>
      <c r="C36" s="31">
        <f>I17/C25</f>
        <v>0.14603964093892091</v>
      </c>
      <c r="D36" s="31">
        <f>J17/D25</f>
        <v>0.1354018739739368</v>
      </c>
      <c r="E36" s="31">
        <f>K17/E25</f>
        <v>0.10957947748697403</v>
      </c>
      <c r="G36" s="29"/>
      <c r="H36" s="31"/>
      <c r="I36" s="31"/>
      <c r="J36" s="31"/>
      <c r="K36" s="31"/>
      <c r="M36" s="2"/>
    </row>
    <row r="37" spans="1:17">
      <c r="A37" s="29" t="s">
        <v>177</v>
      </c>
      <c r="B37" s="49">
        <f>H25/(B15-B12-B13)</f>
        <v>1.7256143005470969E-2</v>
      </c>
      <c r="C37" s="49">
        <f>I25/(C15-C12-C13)</f>
        <v>1.6198843850599332E-2</v>
      </c>
      <c r="D37" s="49">
        <f>J25/(D15-D12-D13)</f>
        <v>1.6671556789995285E-2</v>
      </c>
      <c r="E37" s="49">
        <f>K25/(E15-E12-E13)</f>
        <v>1.4398390149536391E-2</v>
      </c>
      <c r="G37" s="29" t="s">
        <v>64</v>
      </c>
      <c r="H37" s="31">
        <f>H25/H22</f>
        <v>4.7762936006368495</v>
      </c>
      <c r="I37" s="31">
        <f>I25/I22</f>
        <v>7.8209162940008534</v>
      </c>
      <c r="J37" s="31">
        <f>J25/J22</f>
        <v>3.664000962716611</v>
      </c>
      <c r="K37" s="31">
        <f>K25/K22</f>
        <v>4.749269626165197</v>
      </c>
      <c r="M37" s="2"/>
    </row>
    <row r="38" spans="1:17">
      <c r="A38" s="29" t="s">
        <v>65</v>
      </c>
      <c r="B38" s="31">
        <f>B19/B15</f>
        <v>0.79315572593058536</v>
      </c>
      <c r="C38" s="31">
        <f>C19/C15</f>
        <v>0.77814964654720586</v>
      </c>
      <c r="D38" s="31">
        <f>D19/D15</f>
        <v>0.73283171668769909</v>
      </c>
      <c r="E38" s="31">
        <f>E19/E15</f>
        <v>0.69148633237107848</v>
      </c>
      <c r="G38" s="29" t="s">
        <v>66</v>
      </c>
      <c r="H38" s="31">
        <f>H23/H17</f>
        <v>0.51648670259744456</v>
      </c>
      <c r="I38" s="31">
        <f>I23/I17</f>
        <v>0.51400486823808633</v>
      </c>
      <c r="J38" s="31">
        <f>J23/J17</f>
        <v>0.55455919616511085</v>
      </c>
      <c r="K38" s="31">
        <f>K23/K17</f>
        <v>0.59110081081939525</v>
      </c>
      <c r="M38" s="6"/>
    </row>
    <row r="39" spans="1:17">
      <c r="A39" s="29" t="s">
        <v>67</v>
      </c>
      <c r="B39" s="31">
        <f>B19/B25</f>
        <v>3.8345549060952551</v>
      </c>
      <c r="C39" s="31">
        <f>C19/C25</f>
        <v>3.5075429650500087</v>
      </c>
      <c r="D39" s="31">
        <f>D19/D25</f>
        <v>2.7429592599922135</v>
      </c>
      <c r="E39" s="31">
        <f>E19/E25</f>
        <v>2.2413474828700117</v>
      </c>
      <c r="G39" s="36" t="s">
        <v>72</v>
      </c>
      <c r="H39" s="37">
        <f>H25/$B$5/1000</f>
        <v>0.97998400000000008</v>
      </c>
      <c r="I39" s="37">
        <f>I25/$B$5/1000</f>
        <v>0.84295399999999998</v>
      </c>
      <c r="J39" s="37">
        <f>J25/$B$5/1000</f>
        <v>0.66983799999999993</v>
      </c>
      <c r="K39" s="37">
        <f>K25/$B$5/1000</f>
        <v>0.48877266666666669</v>
      </c>
      <c r="M39" s="6"/>
    </row>
    <row r="40" spans="1:17">
      <c r="A40" s="29" t="s">
        <v>178</v>
      </c>
      <c r="B40" s="31">
        <f>B10/B17</f>
        <v>9.8687436277167001E-2</v>
      </c>
      <c r="C40" s="31">
        <f>C10/C17</f>
        <v>0.13522539315547893</v>
      </c>
      <c r="D40" s="31">
        <f>D10/D17</f>
        <v>0.12626601506647522</v>
      </c>
      <c r="E40" s="31">
        <f>E10/E17</f>
        <v>6.0851387916387646E-2</v>
      </c>
      <c r="G40" s="36" t="s">
        <v>73</v>
      </c>
      <c r="H40" s="37">
        <f>B27/$B$5/1000</f>
        <v>59.149686666666668</v>
      </c>
      <c r="I40" s="37">
        <f>C27/$B$5/1000</f>
        <v>53.907906000000004</v>
      </c>
      <c r="J40" s="37">
        <f>D27/$B$5/1000</f>
        <v>42.000821333333334</v>
      </c>
      <c r="K40" s="37">
        <f>E27/$B$5/1000</f>
        <v>36.009635333333328</v>
      </c>
      <c r="M40" s="6"/>
    </row>
    <row r="41" spans="1:17">
      <c r="A41" s="29" t="s">
        <v>71</v>
      </c>
      <c r="B41" s="30">
        <f>B15/B25</f>
        <v>4.8345549060952546</v>
      </c>
      <c r="C41" s="30">
        <f>C15/C25</f>
        <v>4.5075429650500087</v>
      </c>
      <c r="D41" s="30">
        <f>D15/D25</f>
        <v>3.7429592599922135</v>
      </c>
      <c r="E41" s="30">
        <f>E15/E25</f>
        <v>3.2413474828700117</v>
      </c>
      <c r="G41" s="33" t="s">
        <v>74</v>
      </c>
      <c r="H41" s="38">
        <f>SQRT(16*H39*H40)</f>
        <v>30.45409569521884</v>
      </c>
      <c r="I41" s="38">
        <f>SQRT(16*I39*I40)</f>
        <v>26.964238537536787</v>
      </c>
      <c r="J41" s="38">
        <f>SQRT(16*J39*J40)</f>
        <v>21.216501562803355</v>
      </c>
      <c r="K41" s="38">
        <f>SQRT(16*K39*K40)</f>
        <v>16.781192085220908</v>
      </c>
      <c r="M41" s="6"/>
    </row>
    <row r="42" spans="1:17">
      <c r="A42" s="29" t="s">
        <v>179</v>
      </c>
      <c r="B42" s="31">
        <f>B11/B17</f>
        <v>0.86311598535136191</v>
      </c>
      <c r="C42" s="31">
        <f>C11/C17</f>
        <v>0.90255668956418988</v>
      </c>
      <c r="D42" s="31">
        <f>D11/D17</f>
        <v>1.0505347859508056</v>
      </c>
      <c r="E42" s="31">
        <f>E11/E17</f>
        <v>1.1543722572929729</v>
      </c>
      <c r="G42" s="2" t="s">
        <v>180</v>
      </c>
      <c r="H42" s="39">
        <f>H39-(B25*0.08/1000/$B$5)</f>
        <v>1.2020799999999943E-3</v>
      </c>
      <c r="I42" s="39">
        <f>I39-(C25*0.08/1000/$B$5)</f>
        <v>-0.11380504000000013</v>
      </c>
      <c r="J42" s="39">
        <f>J39-(D25*0.08/1000/$B$5)</f>
        <v>-0.22786498666666677</v>
      </c>
      <c r="K42" s="39">
        <f>K39-(E25*0.08/1000/$B$5)</f>
        <v>-0.39998450666666668</v>
      </c>
      <c r="M42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F1" zoomScaleNormal="100" workbookViewId="0"/>
  </sheetViews>
  <sheetFormatPr defaultRowHeight="15"/>
  <cols>
    <col min="1" max="1" width="27.42578125"/>
    <col min="2" max="6" width="15.140625"/>
    <col min="7" max="7" width="25.42578125"/>
    <col min="8" max="12" width="15.140625"/>
    <col min="13" max="13" width="28.7109375"/>
    <col min="14" max="26" width="15.140625"/>
    <col min="27" max="1025" width="14.42578125"/>
  </cols>
  <sheetData>
    <row r="1" spans="1:17">
      <c r="A1" s="2"/>
      <c r="G1" s="6"/>
      <c r="M1" s="6"/>
    </row>
    <row r="2" spans="1:17">
      <c r="A2" s="2"/>
      <c r="G2" s="6"/>
      <c r="M2" s="6"/>
    </row>
    <row r="3" spans="1:17">
      <c r="A3" s="2"/>
      <c r="G3" s="6"/>
      <c r="M3" s="6"/>
    </row>
    <row r="4" spans="1:17">
      <c r="A4" s="2" t="s">
        <v>0</v>
      </c>
      <c r="B4" s="75">
        <v>5300</v>
      </c>
      <c r="G4" s="6"/>
      <c r="M4" s="6"/>
    </row>
    <row r="5" spans="1:17">
      <c r="A5" s="2" t="s">
        <v>1</v>
      </c>
      <c r="B5" s="6">
        <v>400</v>
      </c>
      <c r="G5" s="6"/>
      <c r="M5" s="6"/>
    </row>
    <row r="6" spans="1:17">
      <c r="A6" s="2" t="s">
        <v>2</v>
      </c>
      <c r="G6" s="6"/>
      <c r="M6" s="6"/>
    </row>
    <row r="7" spans="1:17">
      <c r="A7" s="20" t="s">
        <v>3</v>
      </c>
      <c r="B7" s="9">
        <v>42369</v>
      </c>
      <c r="C7" s="9">
        <v>42004</v>
      </c>
      <c r="D7" s="9">
        <v>41639</v>
      </c>
      <c r="E7" s="9">
        <v>41274</v>
      </c>
      <c r="G7" s="20" t="s">
        <v>4</v>
      </c>
      <c r="H7" s="9">
        <v>42369</v>
      </c>
      <c r="I7" s="9">
        <v>42004</v>
      </c>
      <c r="J7" s="9">
        <v>41639</v>
      </c>
      <c r="K7" s="9">
        <v>41274</v>
      </c>
      <c r="M7" s="20" t="s">
        <v>96</v>
      </c>
      <c r="N7" s="9">
        <v>42369</v>
      </c>
      <c r="O7" s="9">
        <v>42004</v>
      </c>
      <c r="P7" s="9">
        <v>41639</v>
      </c>
      <c r="Q7" s="9">
        <v>41274</v>
      </c>
    </row>
    <row r="8" spans="1:17">
      <c r="A8" s="23" t="s">
        <v>124</v>
      </c>
      <c r="B8" s="12">
        <v>3728044</v>
      </c>
      <c r="C8" s="12">
        <v>6552141</v>
      </c>
      <c r="D8" s="12">
        <v>7306158</v>
      </c>
      <c r="E8" s="12">
        <v>7109044</v>
      </c>
      <c r="G8" s="23" t="s">
        <v>125</v>
      </c>
      <c r="H8" s="12">
        <v>2135479</v>
      </c>
      <c r="I8" s="12">
        <v>1954869</v>
      </c>
      <c r="J8" s="12">
        <v>1645129</v>
      </c>
      <c r="K8" s="12">
        <v>1220011</v>
      </c>
      <c r="M8" s="23" t="s">
        <v>8</v>
      </c>
      <c r="N8" s="12">
        <v>1469976</v>
      </c>
      <c r="O8" s="12">
        <v>1264431</v>
      </c>
      <c r="P8" s="12">
        <v>1004757</v>
      </c>
      <c r="Q8" s="12">
        <v>733159</v>
      </c>
    </row>
    <row r="9" spans="1:17">
      <c r="A9" s="23" t="s">
        <v>126</v>
      </c>
      <c r="B9" s="12">
        <v>4691538</v>
      </c>
      <c r="C9" s="12">
        <v>4908991</v>
      </c>
      <c r="D9" s="12">
        <v>3073795</v>
      </c>
      <c r="E9" s="12">
        <v>3138622</v>
      </c>
      <c r="G9" s="23" t="s">
        <v>127</v>
      </c>
      <c r="H9" s="12">
        <v>534939</v>
      </c>
      <c r="I9" s="12">
        <v>509787</v>
      </c>
      <c r="J9" s="12">
        <v>422182</v>
      </c>
      <c r="K9" s="12">
        <v>269128</v>
      </c>
      <c r="M9" s="23" t="s">
        <v>11</v>
      </c>
      <c r="N9" s="12">
        <v>160659</v>
      </c>
      <c r="O9" s="12">
        <v>153552</v>
      </c>
      <c r="P9" s="12">
        <v>154141</v>
      </c>
      <c r="Q9" s="12">
        <v>150254</v>
      </c>
    </row>
    <row r="10" spans="1:17">
      <c r="A10" s="23" t="s">
        <v>12</v>
      </c>
      <c r="B10" s="12">
        <v>11330155</v>
      </c>
      <c r="C10" s="12">
        <v>11460558</v>
      </c>
      <c r="D10" s="12">
        <v>12718614</v>
      </c>
      <c r="E10" s="12">
        <v>9098734</v>
      </c>
      <c r="G10" s="23" t="s">
        <v>128</v>
      </c>
      <c r="H10" s="12">
        <v>1600540</v>
      </c>
      <c r="I10" s="12">
        <v>1445082</v>
      </c>
      <c r="J10" s="12">
        <v>1222947</v>
      </c>
      <c r="K10" s="12">
        <v>950883</v>
      </c>
      <c r="M10" s="23" t="s">
        <v>129</v>
      </c>
      <c r="N10" s="14">
        <v>-54</v>
      </c>
      <c r="O10" s="14">
        <v>-455</v>
      </c>
      <c r="P10" s="12">
        <v>3932</v>
      </c>
      <c r="Q10" s="45">
        <v>0</v>
      </c>
    </row>
    <row r="11" spans="1:17">
      <c r="A11" s="23" t="s">
        <v>130</v>
      </c>
      <c r="B11" s="12">
        <v>41863473</v>
      </c>
      <c r="C11" s="12">
        <v>41244551</v>
      </c>
      <c r="D11" s="12">
        <v>34994759</v>
      </c>
      <c r="E11" s="12">
        <v>29896782</v>
      </c>
      <c r="G11" s="23" t="s">
        <v>131</v>
      </c>
      <c r="H11" s="12">
        <v>629869</v>
      </c>
      <c r="I11" s="12">
        <v>648052</v>
      </c>
      <c r="J11" s="12">
        <v>468090</v>
      </c>
      <c r="K11" s="12">
        <v>564184</v>
      </c>
      <c r="M11" s="23" t="s">
        <v>132</v>
      </c>
      <c r="N11" s="12">
        <v>307765</v>
      </c>
      <c r="O11" s="12">
        <v>161673</v>
      </c>
      <c r="P11" s="12">
        <v>274224</v>
      </c>
      <c r="Q11" s="12">
        <v>154373</v>
      </c>
    </row>
    <row r="12" spans="1:17">
      <c r="A12" s="23" t="s">
        <v>133</v>
      </c>
      <c r="B12" s="12">
        <v>679088</v>
      </c>
      <c r="C12" s="12">
        <v>598920</v>
      </c>
      <c r="D12" s="12">
        <v>507766</v>
      </c>
      <c r="E12" s="12">
        <v>466103</v>
      </c>
      <c r="G12" s="23" t="s">
        <v>134</v>
      </c>
      <c r="H12" s="12">
        <v>90065</v>
      </c>
      <c r="I12" s="12">
        <v>56822</v>
      </c>
      <c r="J12" s="12">
        <v>34784</v>
      </c>
      <c r="K12" s="12">
        <v>23740</v>
      </c>
      <c r="M12" s="23" t="s">
        <v>135</v>
      </c>
      <c r="N12" s="45"/>
      <c r="O12" s="45"/>
      <c r="P12" s="45"/>
      <c r="Q12" s="45">
        <v>0</v>
      </c>
    </row>
    <row r="13" spans="1:17">
      <c r="A13" s="23" t="s">
        <v>136</v>
      </c>
      <c r="B13" s="12">
        <v>971836</v>
      </c>
      <c r="C13" s="12">
        <v>1788768</v>
      </c>
      <c r="D13" s="12">
        <v>1375316</v>
      </c>
      <c r="E13" s="12">
        <v>1247237</v>
      </c>
      <c r="G13" s="23" t="s">
        <v>137</v>
      </c>
      <c r="H13" s="12">
        <v>11171</v>
      </c>
      <c r="I13" s="12">
        <v>30444</v>
      </c>
      <c r="J13" s="12">
        <v>55738</v>
      </c>
      <c r="K13" s="12">
        <v>35915</v>
      </c>
      <c r="M13" s="23" t="s">
        <v>138</v>
      </c>
      <c r="N13" s="12">
        <v>20663</v>
      </c>
      <c r="O13" s="12">
        <v>5931</v>
      </c>
      <c r="P13" s="12">
        <v>3952</v>
      </c>
      <c r="Q13" s="12">
        <v>10676</v>
      </c>
    </row>
    <row r="14" spans="1:17">
      <c r="A14" s="23" t="s">
        <v>139</v>
      </c>
      <c r="B14" s="45"/>
      <c r="C14" s="45">
        <v>0</v>
      </c>
      <c r="D14" s="45"/>
      <c r="E14" s="45">
        <v>0</v>
      </c>
      <c r="G14" s="23" t="s">
        <v>140</v>
      </c>
      <c r="H14" s="12">
        <v>250</v>
      </c>
      <c r="I14" s="12">
        <v>3684</v>
      </c>
      <c r="J14" s="12">
        <v>23432</v>
      </c>
      <c r="K14" s="45">
        <v>0</v>
      </c>
      <c r="M14" s="23" t="s">
        <v>126</v>
      </c>
      <c r="N14" s="14">
        <v>-3267576</v>
      </c>
      <c r="O14" s="14">
        <v>-5163062</v>
      </c>
      <c r="P14" s="14">
        <v>-2382896</v>
      </c>
      <c r="Q14" s="12">
        <v>1518324</v>
      </c>
    </row>
    <row r="15" spans="1:17">
      <c r="A15" s="23" t="s">
        <v>20</v>
      </c>
      <c r="B15" s="12">
        <v>63264134</v>
      </c>
      <c r="C15" s="12">
        <v>66553929</v>
      </c>
      <c r="D15" s="12">
        <v>59976408</v>
      </c>
      <c r="E15" s="12">
        <v>50956522</v>
      </c>
      <c r="G15" s="23" t="s">
        <v>141</v>
      </c>
      <c r="H15" s="12">
        <v>1874</v>
      </c>
      <c r="I15" s="12">
        <v>2670</v>
      </c>
      <c r="J15" s="12">
        <v>6407</v>
      </c>
      <c r="K15" s="12">
        <v>10800</v>
      </c>
      <c r="M15" s="23" t="s">
        <v>139</v>
      </c>
      <c r="N15" s="45"/>
      <c r="O15" s="45"/>
      <c r="P15" s="45"/>
      <c r="Q15" s="45">
        <v>0</v>
      </c>
    </row>
    <row r="16" spans="1:17">
      <c r="A16" s="23" t="s">
        <v>142</v>
      </c>
      <c r="B16" s="12">
        <v>4054511</v>
      </c>
      <c r="C16" s="12">
        <v>3736476</v>
      </c>
      <c r="D16" s="12">
        <v>4358738</v>
      </c>
      <c r="E16" s="12">
        <v>3286044</v>
      </c>
      <c r="G16" s="23" t="s">
        <v>143</v>
      </c>
      <c r="H16" s="12">
        <v>587752</v>
      </c>
      <c r="I16" s="12">
        <v>39491</v>
      </c>
      <c r="J16" s="12">
        <v>27909</v>
      </c>
      <c r="K16" s="12">
        <v>15433</v>
      </c>
      <c r="M16" s="23" t="s">
        <v>130</v>
      </c>
      <c r="N16" s="14">
        <v>-3129243</v>
      </c>
      <c r="O16" s="14">
        <v>-8857957</v>
      </c>
      <c r="P16" s="14">
        <v>-7970143</v>
      </c>
      <c r="Q16" s="14">
        <v>-12080965</v>
      </c>
    </row>
    <row r="17" spans="1:17">
      <c r="A17" s="23" t="s">
        <v>144</v>
      </c>
      <c r="B17" s="12">
        <v>50673599</v>
      </c>
      <c r="C17" s="12">
        <v>55569273</v>
      </c>
      <c r="D17" s="12">
        <v>49082525</v>
      </c>
      <c r="E17" s="12">
        <v>41675290</v>
      </c>
      <c r="G17" s="23" t="s">
        <v>145</v>
      </c>
      <c r="H17" s="12">
        <f>H10+H11+H12+H13+H14+H15+H16</f>
        <v>2921521</v>
      </c>
      <c r="I17" s="12">
        <v>2226245</v>
      </c>
      <c r="J17" s="12">
        <v>1839307</v>
      </c>
      <c r="K17" s="12">
        <v>1600955</v>
      </c>
      <c r="M17" s="23" t="s">
        <v>17</v>
      </c>
      <c r="N17" s="14">
        <v>-648448</v>
      </c>
      <c r="O17" s="14">
        <v>-762</v>
      </c>
      <c r="P17" s="14">
        <v>-450389</v>
      </c>
      <c r="Q17" s="14">
        <v>-347294</v>
      </c>
    </row>
    <row r="18" spans="1:17">
      <c r="A18" s="23" t="s">
        <v>28</v>
      </c>
      <c r="B18" s="12">
        <v>1122555</v>
      </c>
      <c r="C18" s="12">
        <v>1090134</v>
      </c>
      <c r="D18" s="12">
        <v>806600</v>
      </c>
      <c r="E18" s="12">
        <v>983335</v>
      </c>
      <c r="G18" s="23" t="s">
        <v>146</v>
      </c>
      <c r="H18" s="12">
        <v>908901</v>
      </c>
      <c r="I18" s="12">
        <v>721872</v>
      </c>
      <c r="J18" s="12">
        <v>629982</v>
      </c>
      <c r="K18" s="12">
        <v>574831</v>
      </c>
      <c r="M18" s="23" t="s">
        <v>147</v>
      </c>
      <c r="N18" s="45"/>
      <c r="O18" s="45"/>
      <c r="P18" s="45"/>
      <c r="Q18" s="45">
        <v>0</v>
      </c>
    </row>
    <row r="19" spans="1:17">
      <c r="A19" s="23" t="s">
        <v>148</v>
      </c>
      <c r="B19" s="12">
        <v>55850665</v>
      </c>
      <c r="C19" s="12">
        <v>60395883</v>
      </c>
      <c r="D19" s="12">
        <v>54247863</v>
      </c>
      <c r="E19" s="12">
        <v>45944669</v>
      </c>
      <c r="G19" s="23" t="s">
        <v>149</v>
      </c>
      <c r="H19" s="12">
        <v>136492</v>
      </c>
      <c r="I19" s="12">
        <v>112514</v>
      </c>
      <c r="J19" s="12">
        <v>86537</v>
      </c>
      <c r="K19" s="12">
        <v>68589</v>
      </c>
      <c r="M19" s="23" t="s">
        <v>142</v>
      </c>
      <c r="N19" s="12">
        <v>2231017</v>
      </c>
      <c r="O19" s="14">
        <v>-168079</v>
      </c>
      <c r="P19" s="14">
        <v>-2213796</v>
      </c>
      <c r="Q19" s="14">
        <v>-28344</v>
      </c>
    </row>
    <row r="20" spans="1:17">
      <c r="A20" s="23" t="s">
        <v>150</v>
      </c>
      <c r="B20" s="12">
        <v>4000000</v>
      </c>
      <c r="C20" s="12">
        <v>4000000</v>
      </c>
      <c r="D20" s="12">
        <v>3000000</v>
      </c>
      <c r="E20" s="12">
        <v>3000000</v>
      </c>
      <c r="G20" s="23" t="s">
        <v>11</v>
      </c>
      <c r="H20" s="12">
        <v>79014</v>
      </c>
      <c r="I20" s="12">
        <v>79394</v>
      </c>
      <c r="J20" s="12">
        <v>71417</v>
      </c>
      <c r="K20" s="12">
        <v>65508</v>
      </c>
      <c r="M20" s="23" t="s">
        <v>151</v>
      </c>
      <c r="N20" s="12">
        <v>6096758</v>
      </c>
      <c r="O20" s="12">
        <v>16648128</v>
      </c>
      <c r="P20" s="12">
        <v>10554420</v>
      </c>
      <c r="Q20" s="12">
        <v>14437328</v>
      </c>
    </row>
    <row r="21" spans="1:17">
      <c r="A21" s="23" t="s">
        <v>152</v>
      </c>
      <c r="B21" s="12">
        <v>68000</v>
      </c>
      <c r="C21" s="12">
        <v>68000</v>
      </c>
      <c r="D21" s="12">
        <v>68000</v>
      </c>
      <c r="E21" s="12">
        <v>68000</v>
      </c>
      <c r="G21" s="23" t="s">
        <v>153</v>
      </c>
      <c r="H21" s="12">
        <v>460035</v>
      </c>
      <c r="I21" s="12">
        <v>360730</v>
      </c>
      <c r="J21" s="12">
        <v>263381</v>
      </c>
      <c r="K21" s="12">
        <v>219068</v>
      </c>
      <c r="M21" s="23" t="s">
        <v>28</v>
      </c>
      <c r="N21" s="14">
        <v>-895106</v>
      </c>
      <c r="O21" s="12">
        <v>256203</v>
      </c>
      <c r="P21" s="12">
        <v>481789</v>
      </c>
      <c r="Q21" s="12">
        <v>2051927</v>
      </c>
    </row>
    <row r="22" spans="1:17">
      <c r="A22" s="23" t="s">
        <v>154</v>
      </c>
      <c r="B22" s="12">
        <v>1727119</v>
      </c>
      <c r="C22" s="12">
        <v>1405500</v>
      </c>
      <c r="D22" s="12">
        <v>1762500</v>
      </c>
      <c r="E22" s="12">
        <v>1599500</v>
      </c>
      <c r="G22" s="23" t="s">
        <v>155</v>
      </c>
      <c r="H22" s="12">
        <v>53063</v>
      </c>
      <c r="I22" s="12">
        <v>383107</v>
      </c>
      <c r="J22" s="12">
        <v>136343</v>
      </c>
      <c r="K22" s="12">
        <v>172479</v>
      </c>
      <c r="M22" s="23" t="s">
        <v>156</v>
      </c>
      <c r="N22" s="12">
        <v>2346411</v>
      </c>
      <c r="O22" s="12">
        <v>4299603</v>
      </c>
      <c r="P22" s="14">
        <v>-540009</v>
      </c>
      <c r="Q22" s="12">
        <v>6599438</v>
      </c>
    </row>
    <row r="23" spans="1:17">
      <c r="A23" s="23" t="s">
        <v>157</v>
      </c>
      <c r="B23" s="12">
        <v>1791006</v>
      </c>
      <c r="C23" s="12">
        <v>825863</v>
      </c>
      <c r="D23" s="12">
        <v>896396</v>
      </c>
      <c r="E23" s="12">
        <v>381997</v>
      </c>
      <c r="G23" s="23" t="s">
        <v>158</v>
      </c>
      <c r="H23" s="12">
        <v>1637505</v>
      </c>
      <c r="I23" s="12">
        <v>1657617</v>
      </c>
      <c r="J23" s="12">
        <v>1187660</v>
      </c>
      <c r="K23" s="12">
        <v>1100475</v>
      </c>
      <c r="M23" s="23" t="s">
        <v>159</v>
      </c>
      <c r="N23" s="12">
        <v>22172</v>
      </c>
      <c r="O23" s="12">
        <v>17531</v>
      </c>
      <c r="P23" s="45"/>
      <c r="Q23" s="45">
        <v>0</v>
      </c>
    </row>
    <row r="24" spans="1:17">
      <c r="A24" s="23" t="s">
        <v>160</v>
      </c>
      <c r="B24" s="14">
        <v>-172656</v>
      </c>
      <c r="C24" s="14">
        <v>-141317</v>
      </c>
      <c r="D24" s="12">
        <v>1649</v>
      </c>
      <c r="E24" s="14">
        <v>-37644</v>
      </c>
      <c r="G24" s="23" t="s">
        <v>161</v>
      </c>
      <c r="H24" s="12">
        <v>3103</v>
      </c>
      <c r="I24" s="12">
        <v>3839</v>
      </c>
      <c r="J24" s="14">
        <v>-1011</v>
      </c>
      <c r="K24" s="45">
        <v>0</v>
      </c>
      <c r="M24" s="23" t="s">
        <v>162</v>
      </c>
      <c r="N24" s="45"/>
      <c r="O24" s="45"/>
      <c r="P24" s="45"/>
      <c r="Q24" s="45">
        <v>0</v>
      </c>
    </row>
    <row r="25" spans="1:17">
      <c r="A25" s="23" t="s">
        <v>31</v>
      </c>
      <c r="B25" s="12">
        <v>7413469</v>
      </c>
      <c r="C25" s="12">
        <v>6158046</v>
      </c>
      <c r="D25" s="12">
        <v>5728545</v>
      </c>
      <c r="E25" s="12">
        <v>5011853</v>
      </c>
      <c r="G25" s="23" t="s">
        <v>163</v>
      </c>
      <c r="H25" s="12">
        <f>H17-H23+H24</f>
        <v>1287119</v>
      </c>
      <c r="I25" s="12">
        <v>572467</v>
      </c>
      <c r="J25" s="12">
        <v>650636</v>
      </c>
      <c r="K25" s="12">
        <v>500480</v>
      </c>
      <c r="M25" s="23" t="s">
        <v>164</v>
      </c>
      <c r="N25" s="17"/>
      <c r="O25" s="17"/>
      <c r="P25" s="17"/>
      <c r="Q25" s="17">
        <v>0</v>
      </c>
    </row>
    <row r="26" spans="1:17">
      <c r="A26" s="23" t="s">
        <v>34</v>
      </c>
      <c r="B26" s="17"/>
      <c r="C26" s="17"/>
      <c r="D26" s="17"/>
      <c r="E26" s="17"/>
      <c r="G26" s="23" t="s">
        <v>165</v>
      </c>
      <c r="H26" s="12">
        <v>825863</v>
      </c>
      <c r="I26" s="12">
        <v>896396</v>
      </c>
      <c r="J26" s="12">
        <v>381997</v>
      </c>
      <c r="K26" s="12">
        <v>6287</v>
      </c>
      <c r="M26" s="23" t="s">
        <v>27</v>
      </c>
      <c r="N26" s="14">
        <v>-246149</v>
      </c>
      <c r="O26" s="14">
        <v>-225437</v>
      </c>
      <c r="P26" s="14">
        <v>-219120</v>
      </c>
      <c r="Q26" s="14">
        <v>-218833</v>
      </c>
    </row>
    <row r="27" spans="1:17">
      <c r="A27" s="23" t="s">
        <v>37</v>
      </c>
      <c r="B27" s="12">
        <v>63264134</v>
      </c>
      <c r="C27" s="12">
        <v>66553929</v>
      </c>
      <c r="D27" s="12">
        <v>59976408</v>
      </c>
      <c r="E27" s="12">
        <v>50956522</v>
      </c>
      <c r="G27" s="23" t="s">
        <v>166</v>
      </c>
      <c r="H27" s="14">
        <v>-321619</v>
      </c>
      <c r="I27" s="14">
        <v>-143000</v>
      </c>
      <c r="J27" s="12">
        <v>136237</v>
      </c>
      <c r="K27" s="12">
        <v>125500</v>
      </c>
      <c r="M27" s="23" t="s">
        <v>167</v>
      </c>
      <c r="N27" s="12">
        <v>118</v>
      </c>
      <c r="O27" s="12">
        <v>3674</v>
      </c>
      <c r="P27" s="12">
        <v>33959</v>
      </c>
      <c r="Q27" s="45">
        <v>0</v>
      </c>
    </row>
    <row r="28" spans="1:17">
      <c r="A28" s="23" t="s">
        <v>168</v>
      </c>
      <c r="B28" s="45"/>
      <c r="C28" s="45"/>
      <c r="D28" s="45"/>
      <c r="E28" s="45">
        <v>0</v>
      </c>
      <c r="G28" s="23" t="s">
        <v>169</v>
      </c>
      <c r="H28" s="45">
        <v>0</v>
      </c>
      <c r="I28" s="45">
        <v>0</v>
      </c>
      <c r="J28" s="17">
        <v>0</v>
      </c>
      <c r="K28" s="45">
        <v>0</v>
      </c>
      <c r="M28" s="23" t="s">
        <v>170</v>
      </c>
      <c r="N28" s="14">
        <v>-223859</v>
      </c>
      <c r="O28" s="14">
        <v>-204232</v>
      </c>
      <c r="P28" s="14">
        <v>-185161</v>
      </c>
      <c r="Q28" s="14">
        <v>-218833</v>
      </c>
    </row>
    <row r="29" spans="1:17">
      <c r="A29" s="6"/>
      <c r="G29" s="23" t="s">
        <v>45</v>
      </c>
      <c r="H29" s="14">
        <v>-357</v>
      </c>
      <c r="I29" s="14">
        <v>-500000</v>
      </c>
      <c r="J29" s="45"/>
      <c r="K29" s="14">
        <v>-730</v>
      </c>
      <c r="M29" s="23" t="s">
        <v>171</v>
      </c>
      <c r="N29" s="45"/>
      <c r="O29" s="45"/>
      <c r="P29" s="45"/>
      <c r="Q29" s="45">
        <v>0</v>
      </c>
    </row>
    <row r="30" spans="1:17">
      <c r="A30" s="6"/>
      <c r="G30" s="23" t="s">
        <v>172</v>
      </c>
      <c r="H30" s="12">
        <v>1791006</v>
      </c>
      <c r="I30" s="12">
        <v>825863</v>
      </c>
      <c r="J30" s="12">
        <v>896396</v>
      </c>
      <c r="K30" s="12">
        <v>381997</v>
      </c>
      <c r="M30" s="23" t="s">
        <v>173</v>
      </c>
      <c r="N30" s="14">
        <v>-1081108</v>
      </c>
      <c r="O30" s="14">
        <v>-70000</v>
      </c>
      <c r="P30" s="14">
        <v>-100000</v>
      </c>
      <c r="Q30" s="45">
        <v>0</v>
      </c>
    </row>
    <row r="31" spans="1:17">
      <c r="A31" s="6"/>
      <c r="G31" s="6"/>
      <c r="M31" s="23" t="s">
        <v>174</v>
      </c>
      <c r="N31" s="12">
        <v>1041444</v>
      </c>
      <c r="O31" s="12">
        <v>4025371</v>
      </c>
      <c r="P31" s="14">
        <v>-825170</v>
      </c>
      <c r="Q31" s="12">
        <v>6380605</v>
      </c>
    </row>
    <row r="32" spans="1:17">
      <c r="A32" s="6"/>
      <c r="G32" s="6"/>
      <c r="M32" s="23" t="s">
        <v>175</v>
      </c>
      <c r="N32" s="12">
        <v>10066103</v>
      </c>
      <c r="O32" s="12">
        <v>6040732</v>
      </c>
      <c r="P32" s="12">
        <v>6865902</v>
      </c>
      <c r="Q32" s="12">
        <v>485297</v>
      </c>
    </row>
    <row r="33" spans="1:17">
      <c r="A33" s="6"/>
      <c r="G33" s="6"/>
      <c r="M33" s="23" t="s">
        <v>176</v>
      </c>
      <c r="N33" s="12">
        <v>11107547</v>
      </c>
      <c r="O33" s="12">
        <v>10066103</v>
      </c>
      <c r="P33" s="12">
        <v>6040732</v>
      </c>
      <c r="Q33" s="12">
        <v>6865902</v>
      </c>
    </row>
    <row r="34" spans="1:17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118</v>
      </c>
      <c r="N34" s="4">
        <f>N22-N26</f>
        <v>2592560</v>
      </c>
      <c r="O34" s="4">
        <f>O22-O26</f>
        <v>4525040</v>
      </c>
      <c r="P34" s="4">
        <f>P22-P26</f>
        <v>-320889</v>
      </c>
      <c r="Q34" s="4">
        <f>Q22-Q26</f>
        <v>6818271</v>
      </c>
    </row>
    <row r="35" spans="1:17">
      <c r="A35" s="29" t="s">
        <v>60</v>
      </c>
      <c r="B35" s="31">
        <f>H17/B15</f>
        <v>4.6179735899016652E-2</v>
      </c>
      <c r="C35" s="31">
        <f>I17/C15</f>
        <v>3.3450241532697489E-2</v>
      </c>
      <c r="D35" s="31">
        <f>J17/D15</f>
        <v>3.0667174999876617E-2</v>
      </c>
      <c r="E35" s="31">
        <f>K17/E15</f>
        <v>3.1418058712876833E-2</v>
      </c>
      <c r="F35" s="31"/>
      <c r="G35" s="29" t="s">
        <v>61</v>
      </c>
      <c r="H35" s="31">
        <f>H21/H17</f>
        <v>0.15746421127898791</v>
      </c>
      <c r="I35" s="31">
        <f>I21/I17</f>
        <v>0.16203517582296648</v>
      </c>
      <c r="J35" s="31">
        <f>J21/J17</f>
        <v>0.14319577971486</v>
      </c>
      <c r="K35" s="31">
        <f>K21/K17</f>
        <v>0.13683582611628684</v>
      </c>
      <c r="M35" s="6"/>
    </row>
    <row r="36" spans="1:17">
      <c r="A36" s="29" t="s">
        <v>62</v>
      </c>
      <c r="B36" s="31">
        <f>H17/B25</f>
        <v>0.39408285109170887</v>
      </c>
      <c r="C36" s="31">
        <f>I17/C25</f>
        <v>0.36151808544463615</v>
      </c>
      <c r="D36" s="31">
        <f>J17/D25</f>
        <v>0.32107751619302982</v>
      </c>
      <c r="E36" s="31">
        <f>K17/E25</f>
        <v>0.31943375035141691</v>
      </c>
      <c r="G36" s="29"/>
      <c r="H36" s="31"/>
      <c r="I36" s="31"/>
      <c r="J36" s="31"/>
      <c r="K36" s="31"/>
      <c r="M36" s="6"/>
    </row>
    <row r="37" spans="1:17">
      <c r="A37" s="29" t="s">
        <v>177</v>
      </c>
      <c r="B37" s="49">
        <f>H25/(B15-B12-B13)</f>
        <v>2.0890309074953244E-2</v>
      </c>
      <c r="C37" s="49">
        <f>I25/(C15-C12-C13)</f>
        <v>8.9216228203238528E-3</v>
      </c>
      <c r="D37" s="49">
        <f>J25/(D15-D12-D13)</f>
        <v>1.1199840752791465E-2</v>
      </c>
      <c r="E37" s="49">
        <f>K25/(E15-E12-E13)</f>
        <v>1.0163437448051184E-2</v>
      </c>
      <c r="G37" s="29" t="s">
        <v>64</v>
      </c>
      <c r="H37" s="31">
        <f>H25/H22</f>
        <v>24.256431034807683</v>
      </c>
      <c r="I37" s="31">
        <f>I25/I22</f>
        <v>1.494274445520442</v>
      </c>
      <c r="J37" s="31">
        <f>J25/J22</f>
        <v>4.7720528373293822</v>
      </c>
      <c r="K37" s="31">
        <f>K25/K22</f>
        <v>2.9016865821346367</v>
      </c>
      <c r="M37" s="6"/>
    </row>
    <row r="38" spans="1:17">
      <c r="A38" s="29" t="s">
        <v>65</v>
      </c>
      <c r="B38" s="31">
        <f>B19/B15</f>
        <v>0.88281718991047908</v>
      </c>
      <c r="C38" s="31">
        <f>C19/C15</f>
        <v>0.90747284055912014</v>
      </c>
      <c r="D38" s="31">
        <f>D19/D15</f>
        <v>0.90448669416814687</v>
      </c>
      <c r="E38" s="31">
        <f>E19/E15</f>
        <v>0.90164452354106894</v>
      </c>
      <c r="G38" s="29" t="s">
        <v>66</v>
      </c>
      <c r="H38" s="31">
        <f>H23/H17</f>
        <v>0.56049742582716333</v>
      </c>
      <c r="I38" s="31">
        <f>I23/I17</f>
        <v>0.74457977446327783</v>
      </c>
      <c r="J38" s="31">
        <f>J23/J17</f>
        <v>0.64571058556293215</v>
      </c>
      <c r="K38" s="31">
        <f>K23/K17</f>
        <v>0.68738659112842027</v>
      </c>
      <c r="M38" s="6"/>
    </row>
    <row r="39" spans="1:17">
      <c r="A39" s="29" t="s">
        <v>67</v>
      </c>
      <c r="B39" s="31">
        <f>B19/B25</f>
        <v>7.533674855860327</v>
      </c>
      <c r="C39" s="31">
        <f>C19/C25</f>
        <v>9.8076375200834818</v>
      </c>
      <c r="D39" s="31">
        <f>D19/D25</f>
        <v>9.4697454589254342</v>
      </c>
      <c r="E39" s="31">
        <f>E19/E25</f>
        <v>9.1672020308656297</v>
      </c>
      <c r="G39" s="36" t="s">
        <v>72</v>
      </c>
      <c r="H39" s="37">
        <f>H25/$B$5/1000</f>
        <v>3.2177975000000001</v>
      </c>
      <c r="I39" s="37">
        <f>I25/$B$5/1000</f>
        <v>1.4311674999999999</v>
      </c>
      <c r="J39" s="37">
        <f>J25/$B$5/1000</f>
        <v>1.62659</v>
      </c>
      <c r="K39" s="37">
        <f>K25/$B$5/1000</f>
        <v>1.2512000000000001</v>
      </c>
      <c r="M39" s="6"/>
    </row>
    <row r="40" spans="1:17">
      <c r="A40" s="29" t="s">
        <v>178</v>
      </c>
      <c r="B40" s="31">
        <f>B10/B17</f>
        <v>0.22359088802830049</v>
      </c>
      <c r="C40" s="31">
        <f>C10/C17</f>
        <v>0.20623912067375796</v>
      </c>
      <c r="D40" s="31">
        <f>D10/D17</f>
        <v>0.25912713333309562</v>
      </c>
      <c r="E40" s="31">
        <f>E10/E17</f>
        <v>0.2183244315756411</v>
      </c>
      <c r="G40" s="36" t="s">
        <v>73</v>
      </c>
      <c r="H40" s="37">
        <f>B27/$B$5/1000</f>
        <v>158.160335</v>
      </c>
      <c r="I40" s="37">
        <f>C27/$B$5/1000</f>
        <v>166.38482250000001</v>
      </c>
      <c r="J40" s="37">
        <f>D27/$B$5/1000</f>
        <v>149.94101999999998</v>
      </c>
      <c r="K40" s="37">
        <f>E27/$B$5/1000</f>
        <v>127.39130499999999</v>
      </c>
      <c r="M40" s="6"/>
    </row>
    <row r="41" spans="1:17">
      <c r="A41" s="29" t="s">
        <v>71</v>
      </c>
      <c r="B41" s="30">
        <f>B15/B25</f>
        <v>8.5336748558603261</v>
      </c>
      <c r="C41" s="30">
        <f>C15/C25</f>
        <v>10.807637520083482</v>
      </c>
      <c r="D41" s="30">
        <f>D15/D25</f>
        <v>10.469745458925434</v>
      </c>
      <c r="E41" s="30">
        <f>E15/E25</f>
        <v>10.16720203086563</v>
      </c>
      <c r="G41" s="33" t="s">
        <v>74</v>
      </c>
      <c r="H41" s="38">
        <f>SQRT(16*H39*H40)</f>
        <v>90.237724311922904</v>
      </c>
      <c r="I41" s="38">
        <f>SQRT(16*I39*I40)</f>
        <v>61.725139184001037</v>
      </c>
      <c r="J41" s="38">
        <f>SQRT(16*J39*J40)</f>
        <v>62.468240086853733</v>
      </c>
      <c r="K41" s="38">
        <f>SQRT(16*K39*K40)</f>
        <v>50.500217950579184</v>
      </c>
      <c r="M41" s="6"/>
    </row>
    <row r="42" spans="1:17">
      <c r="A42" s="29" t="s">
        <v>179</v>
      </c>
      <c r="B42" s="31">
        <f>B11/B17</f>
        <v>0.82613972218551124</v>
      </c>
      <c r="C42" s="31">
        <f>C11/C17</f>
        <v>0.74221865382330987</v>
      </c>
      <c r="D42" s="31">
        <f>D11/D17</f>
        <v>0.71297796924669221</v>
      </c>
      <c r="E42" s="31">
        <f>E11/E17</f>
        <v>0.71737430021482751</v>
      </c>
      <c r="G42" s="2" t="s">
        <v>180</v>
      </c>
      <c r="H42" s="39">
        <f>H39-(B25*0.1/1000/$B$5)</f>
        <v>1.3644302500000001</v>
      </c>
      <c r="I42" s="39">
        <f>I39-(C25*0.1/1000/$B$5)</f>
        <v>-0.108344</v>
      </c>
      <c r="J42" s="39">
        <f>J39-(D25*0.1/1000/$B$5)</f>
        <v>0.19445374999999987</v>
      </c>
      <c r="K42" s="39">
        <f>K39-(E25*0.1/1000/$B$5)</f>
        <v>-1.763249999999994E-3</v>
      </c>
      <c r="M42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Normal="100" workbookViewId="0"/>
  </sheetViews>
  <sheetFormatPr defaultRowHeight="15"/>
  <cols>
    <col min="1" max="1" width="27.42578125"/>
    <col min="2" max="6" width="15.140625"/>
    <col min="7" max="7" width="25.42578125"/>
    <col min="8" max="12" width="15.140625"/>
    <col min="13" max="13" width="28.7109375"/>
    <col min="14" max="26" width="15.140625"/>
    <col min="27" max="1025" width="14.42578125"/>
  </cols>
  <sheetData>
    <row r="1" spans="1:17">
      <c r="A1" s="2"/>
      <c r="G1" s="6"/>
      <c r="M1" s="6"/>
    </row>
    <row r="2" spans="1:17">
      <c r="A2" s="2"/>
      <c r="G2" s="6"/>
      <c r="M2" s="6"/>
    </row>
    <row r="3" spans="1:17">
      <c r="A3" s="2"/>
      <c r="G3" s="6"/>
      <c r="M3" s="6"/>
    </row>
    <row r="4" spans="1:17">
      <c r="A4" s="2"/>
      <c r="G4" s="6"/>
      <c r="M4" s="6"/>
    </row>
    <row r="5" spans="1:17">
      <c r="A5" s="2"/>
      <c r="B5" s="2">
        <v>1500</v>
      </c>
      <c r="G5" s="6"/>
      <c r="M5" s="6"/>
    </row>
    <row r="6" spans="1:17">
      <c r="A6" s="2"/>
      <c r="G6" s="6"/>
      <c r="M6" s="6"/>
    </row>
    <row r="7" spans="1:17">
      <c r="A7" s="20" t="s">
        <v>3</v>
      </c>
      <c r="B7" s="9">
        <v>42369</v>
      </c>
      <c r="C7" s="9">
        <v>42004</v>
      </c>
      <c r="D7" s="9">
        <v>41639</v>
      </c>
      <c r="E7" s="9">
        <v>41274</v>
      </c>
      <c r="G7" s="20" t="s">
        <v>4</v>
      </c>
      <c r="H7" s="9">
        <v>42369</v>
      </c>
      <c r="I7" s="9">
        <v>42004</v>
      </c>
      <c r="J7" s="9">
        <v>41639</v>
      </c>
      <c r="K7" s="9">
        <v>41274</v>
      </c>
      <c r="M7" s="20" t="s">
        <v>96</v>
      </c>
      <c r="N7" s="9">
        <v>42369</v>
      </c>
      <c r="O7" s="9">
        <v>42004</v>
      </c>
      <c r="P7" s="9">
        <v>41639</v>
      </c>
      <c r="Q7" s="9">
        <v>41274</v>
      </c>
    </row>
    <row r="8" spans="1:17">
      <c r="A8" s="23" t="s">
        <v>124</v>
      </c>
      <c r="B8" s="12">
        <v>27053716</v>
      </c>
      <c r="C8" s="12">
        <v>33585377</v>
      </c>
      <c r="D8" s="12">
        <v>29970266</v>
      </c>
      <c r="E8" s="12">
        <v>30804122</v>
      </c>
      <c r="G8" s="23" t="s">
        <v>125</v>
      </c>
      <c r="H8" s="17"/>
      <c r="I8" s="17"/>
      <c r="J8" s="17"/>
      <c r="K8" s="17">
        <v>0</v>
      </c>
      <c r="M8" s="23" t="s">
        <v>8</v>
      </c>
      <c r="N8" s="12">
        <v>7130075</v>
      </c>
      <c r="O8" s="12">
        <v>6836172</v>
      </c>
      <c r="P8" s="12">
        <v>7437987</v>
      </c>
      <c r="Q8" s="12">
        <v>7884706</v>
      </c>
    </row>
    <row r="9" spans="1:17">
      <c r="A9" s="23" t="s">
        <v>126</v>
      </c>
      <c r="B9" s="12">
        <v>26911056</v>
      </c>
      <c r="C9" s="12">
        <v>16516208</v>
      </c>
      <c r="D9" s="12">
        <v>15462510</v>
      </c>
      <c r="E9" s="12">
        <v>16557189</v>
      </c>
      <c r="G9" s="23" t="s">
        <v>127</v>
      </c>
      <c r="H9" s="17"/>
      <c r="I9" s="17"/>
      <c r="J9" s="17"/>
      <c r="K9" s="17">
        <v>0</v>
      </c>
      <c r="M9" s="23" t="s">
        <v>11</v>
      </c>
      <c r="N9" s="12">
        <v>374099</v>
      </c>
      <c r="O9" s="12">
        <v>412716</v>
      </c>
      <c r="P9" s="12">
        <v>404553</v>
      </c>
      <c r="Q9" s="12">
        <v>401699</v>
      </c>
    </row>
    <row r="10" spans="1:17">
      <c r="A10" s="23" t="s">
        <v>12</v>
      </c>
      <c r="B10" s="12">
        <v>251444732</v>
      </c>
      <c r="C10" s="12">
        <v>248489583</v>
      </c>
      <c r="D10" s="12">
        <v>226386283</v>
      </c>
      <c r="E10" s="12">
        <v>212821539</v>
      </c>
      <c r="G10" s="23" t="s">
        <v>128</v>
      </c>
      <c r="H10" s="17">
        <v>0</v>
      </c>
      <c r="I10" s="17">
        <v>0</v>
      </c>
      <c r="J10" s="17">
        <v>0</v>
      </c>
      <c r="K10" s="17">
        <v>0</v>
      </c>
      <c r="M10" s="23" t="s">
        <v>129</v>
      </c>
      <c r="N10" s="14">
        <v>-5861</v>
      </c>
      <c r="O10" s="14">
        <v>-25615</v>
      </c>
      <c r="P10" s="17"/>
      <c r="Q10" s="14">
        <v>-4392</v>
      </c>
    </row>
    <row r="11" spans="1:17">
      <c r="A11" s="23" t="s">
        <v>130</v>
      </c>
      <c r="B11" s="45"/>
      <c r="C11" s="45">
        <v>0</v>
      </c>
      <c r="D11" s="12">
        <v>274873</v>
      </c>
      <c r="E11" s="12">
        <v>292138</v>
      </c>
      <c r="G11" s="23" t="s">
        <v>131</v>
      </c>
      <c r="H11" s="12">
        <v>2704091</v>
      </c>
      <c r="I11" s="12">
        <v>2738465</v>
      </c>
      <c r="J11" s="12">
        <v>2936641</v>
      </c>
      <c r="K11" s="12">
        <v>3086206</v>
      </c>
      <c r="M11" s="23" t="s">
        <v>132</v>
      </c>
      <c r="N11" s="12">
        <v>1958025</v>
      </c>
      <c r="O11" s="12">
        <v>2312179</v>
      </c>
      <c r="P11" s="12">
        <v>2619343</v>
      </c>
      <c r="Q11" s="12">
        <v>2319167</v>
      </c>
    </row>
    <row r="12" spans="1:17">
      <c r="A12" s="23" t="s">
        <v>133</v>
      </c>
      <c r="B12" s="12">
        <v>5578931</v>
      </c>
      <c r="C12" s="12">
        <v>4813941</v>
      </c>
      <c r="D12" s="12">
        <v>4320448</v>
      </c>
      <c r="E12" s="12">
        <v>3817980</v>
      </c>
      <c r="G12" s="23" t="s">
        <v>134</v>
      </c>
      <c r="H12" s="12">
        <v>979566</v>
      </c>
      <c r="I12" s="12">
        <v>952056</v>
      </c>
      <c r="J12" s="12">
        <v>954883</v>
      </c>
      <c r="K12" s="12">
        <v>897938</v>
      </c>
      <c r="M12" s="23" t="s">
        <v>135</v>
      </c>
      <c r="N12" s="45"/>
      <c r="O12" s="45"/>
      <c r="P12" s="45"/>
      <c r="Q12" s="45">
        <v>0</v>
      </c>
    </row>
    <row r="13" spans="1:17">
      <c r="A13" s="23" t="s">
        <v>136</v>
      </c>
      <c r="B13" s="12">
        <v>4631213</v>
      </c>
      <c r="C13" s="12">
        <v>4306446</v>
      </c>
      <c r="D13" s="12">
        <v>3456305</v>
      </c>
      <c r="E13" s="12">
        <v>3089594</v>
      </c>
      <c r="G13" s="23" t="s">
        <v>137</v>
      </c>
      <c r="H13" s="45"/>
      <c r="I13" s="45"/>
      <c r="J13" s="45"/>
      <c r="K13" s="45">
        <v>0</v>
      </c>
      <c r="M13" s="23" t="s">
        <v>138</v>
      </c>
      <c r="N13" s="45"/>
      <c r="O13" s="45"/>
      <c r="P13" s="45"/>
      <c r="Q13" s="45">
        <v>0</v>
      </c>
    </row>
    <row r="14" spans="1:17">
      <c r="A14" s="23" t="s">
        <v>139</v>
      </c>
      <c r="B14" s="45"/>
      <c r="C14" s="45"/>
      <c r="D14" s="45"/>
      <c r="E14" s="45">
        <v>0</v>
      </c>
      <c r="G14" s="23" t="s">
        <v>140</v>
      </c>
      <c r="H14" s="12">
        <v>9958942</v>
      </c>
      <c r="I14" s="12">
        <v>9817320</v>
      </c>
      <c r="J14" s="12">
        <v>9649065</v>
      </c>
      <c r="K14" s="12">
        <v>9500979</v>
      </c>
      <c r="M14" s="23" t="s">
        <v>126</v>
      </c>
      <c r="N14" s="14">
        <v>-11761834</v>
      </c>
      <c r="O14" s="14">
        <v>-3812319</v>
      </c>
      <c r="P14" s="12">
        <v>95692</v>
      </c>
      <c r="Q14" s="14">
        <v>-2952816</v>
      </c>
    </row>
    <row r="15" spans="1:17">
      <c r="A15" s="23" t="s">
        <v>20</v>
      </c>
      <c r="B15" s="12">
        <v>315619648</v>
      </c>
      <c r="C15" s="12">
        <v>307711555</v>
      </c>
      <c r="D15" s="12">
        <v>279870685</v>
      </c>
      <c r="E15" s="12">
        <v>267382562</v>
      </c>
      <c r="G15" s="23" t="s">
        <v>141</v>
      </c>
      <c r="H15" s="45"/>
      <c r="I15" s="45"/>
      <c r="J15" s="45"/>
      <c r="K15" s="45">
        <v>0</v>
      </c>
      <c r="M15" s="23" t="s">
        <v>139</v>
      </c>
      <c r="N15" s="45"/>
      <c r="O15" s="45"/>
      <c r="P15" s="45"/>
      <c r="Q15" s="45">
        <v>0</v>
      </c>
    </row>
    <row r="16" spans="1:17">
      <c r="A16" s="23" t="s">
        <v>142</v>
      </c>
      <c r="B16" s="12">
        <v>4558224</v>
      </c>
      <c r="C16" s="12">
        <v>2135237</v>
      </c>
      <c r="D16" s="12">
        <v>3639709</v>
      </c>
      <c r="E16" s="12">
        <v>2234915</v>
      </c>
      <c r="G16" s="23" t="s">
        <v>143</v>
      </c>
      <c r="H16" s="12">
        <v>103176</v>
      </c>
      <c r="I16" s="12">
        <v>159133</v>
      </c>
      <c r="J16" s="12">
        <v>574103</v>
      </c>
      <c r="K16" s="12">
        <v>497894</v>
      </c>
      <c r="M16" s="23" t="s">
        <v>130</v>
      </c>
      <c r="N16" s="14">
        <v>-6235933</v>
      </c>
      <c r="O16" s="45">
        <v>0</v>
      </c>
      <c r="P16" s="12">
        <v>17265</v>
      </c>
      <c r="Q16" s="12">
        <v>83803</v>
      </c>
    </row>
    <row r="17" spans="1:17">
      <c r="A17" s="23" t="s">
        <v>144</v>
      </c>
      <c r="B17" s="12">
        <v>256227769</v>
      </c>
      <c r="C17" s="12">
        <v>256077047</v>
      </c>
      <c r="D17" s="12">
        <v>231589113</v>
      </c>
      <c r="E17" s="12">
        <v>221342916</v>
      </c>
      <c r="G17" s="23" t="s">
        <v>145</v>
      </c>
      <c r="H17" s="12">
        <v>13745775</v>
      </c>
      <c r="I17" s="12">
        <v>13666974</v>
      </c>
      <c r="J17" s="12">
        <v>14114692</v>
      </c>
      <c r="K17" s="12">
        <v>13983017</v>
      </c>
      <c r="M17" s="23" t="s">
        <v>17</v>
      </c>
      <c r="N17" s="14">
        <v>-2677135</v>
      </c>
      <c r="O17" s="14">
        <v>-1822406</v>
      </c>
      <c r="P17" s="14">
        <v>-1952979</v>
      </c>
      <c r="Q17" s="14">
        <v>-2084694</v>
      </c>
    </row>
    <row r="18" spans="1:17">
      <c r="A18" s="23" t="s">
        <v>28</v>
      </c>
      <c r="B18" s="12">
        <v>8194601</v>
      </c>
      <c r="C18" s="12">
        <v>7603077</v>
      </c>
      <c r="D18" s="12">
        <v>6237270</v>
      </c>
      <c r="E18" s="12">
        <v>7335994</v>
      </c>
      <c r="G18" s="23" t="s">
        <v>146</v>
      </c>
      <c r="H18" s="12">
        <v>2661043</v>
      </c>
      <c r="I18" s="12">
        <v>2514103</v>
      </c>
      <c r="J18" s="12">
        <v>2301315</v>
      </c>
      <c r="K18" s="12">
        <v>2100120</v>
      </c>
      <c r="M18" s="23" t="s">
        <v>147</v>
      </c>
      <c r="N18" s="45"/>
      <c r="O18" s="45"/>
      <c r="P18" s="45"/>
      <c r="Q18" s="45">
        <v>0</v>
      </c>
    </row>
    <row r="19" spans="1:17">
      <c r="A19" s="23" t="s">
        <v>148</v>
      </c>
      <c r="B19" s="12">
        <v>268980594</v>
      </c>
      <c r="C19" s="12">
        <v>265815361</v>
      </c>
      <c r="D19" s="12">
        <v>241466092</v>
      </c>
      <c r="E19" s="12">
        <v>230913825</v>
      </c>
      <c r="G19" s="23" t="s">
        <v>149</v>
      </c>
      <c r="H19" s="12">
        <v>243718</v>
      </c>
      <c r="I19" s="12">
        <v>257033</v>
      </c>
      <c r="J19" s="12">
        <v>235868</v>
      </c>
      <c r="K19" s="12">
        <v>216458</v>
      </c>
      <c r="M19" s="23" t="s">
        <v>142</v>
      </c>
      <c r="N19" s="12">
        <v>2422987</v>
      </c>
      <c r="O19" s="14">
        <v>-1504472</v>
      </c>
      <c r="P19" s="12">
        <v>1404464</v>
      </c>
      <c r="Q19" s="14">
        <v>-482379</v>
      </c>
    </row>
    <row r="20" spans="1:17">
      <c r="A20" s="23" t="s">
        <v>150</v>
      </c>
      <c r="B20" s="12">
        <v>16250000</v>
      </c>
      <c r="C20" s="12">
        <v>16250000</v>
      </c>
      <c r="D20" s="12">
        <v>15000000</v>
      </c>
      <c r="E20" s="12">
        <v>15000000</v>
      </c>
      <c r="G20" s="23" t="s">
        <v>11</v>
      </c>
      <c r="H20" s="12">
        <v>374099</v>
      </c>
      <c r="I20" s="12">
        <v>412716</v>
      </c>
      <c r="J20" s="12">
        <v>404553</v>
      </c>
      <c r="K20" s="12">
        <v>401699</v>
      </c>
      <c r="M20" s="23" t="s">
        <v>151</v>
      </c>
      <c r="N20" s="12">
        <v>150722</v>
      </c>
      <c r="O20" s="12">
        <v>24487934</v>
      </c>
      <c r="P20" s="12">
        <v>10194475</v>
      </c>
      <c r="Q20" s="12">
        <v>43609964</v>
      </c>
    </row>
    <row r="21" spans="1:17">
      <c r="A21" s="23" t="s">
        <v>152</v>
      </c>
      <c r="B21" s="12">
        <v>2997754</v>
      </c>
      <c r="C21" s="12">
        <v>2598599</v>
      </c>
      <c r="D21" s="12">
        <v>2068170</v>
      </c>
      <c r="E21" s="12">
        <v>1470301</v>
      </c>
      <c r="G21" s="23" t="s">
        <v>153</v>
      </c>
      <c r="H21" s="12">
        <v>1378815</v>
      </c>
      <c r="I21" s="12">
        <v>1334771</v>
      </c>
      <c r="J21" s="12">
        <v>1115626</v>
      </c>
      <c r="K21" s="12">
        <v>1060867</v>
      </c>
      <c r="M21" s="23" t="s">
        <v>28</v>
      </c>
      <c r="N21" s="12">
        <v>591524</v>
      </c>
      <c r="O21" s="12">
        <v>1200491</v>
      </c>
      <c r="P21" s="14">
        <v>-1306554</v>
      </c>
      <c r="Q21" s="12">
        <v>509175</v>
      </c>
    </row>
    <row r="22" spans="1:17">
      <c r="A22" s="23" t="s">
        <v>154</v>
      </c>
      <c r="B22" s="12">
        <v>16250000</v>
      </c>
      <c r="C22" s="12">
        <v>16250000</v>
      </c>
      <c r="D22" s="12">
        <v>15000000</v>
      </c>
      <c r="E22" s="12">
        <v>15000000</v>
      </c>
      <c r="G22" s="23" t="s">
        <v>155</v>
      </c>
      <c r="H22" s="12">
        <v>1958025</v>
      </c>
      <c r="I22" s="12">
        <v>2312179</v>
      </c>
      <c r="J22" s="12">
        <v>2619343</v>
      </c>
      <c r="K22" s="12">
        <v>2319167</v>
      </c>
      <c r="M22" s="23" t="s">
        <v>156</v>
      </c>
      <c r="N22" s="14">
        <v>-8053331</v>
      </c>
      <c r="O22" s="12">
        <v>28084680</v>
      </c>
      <c r="P22" s="12">
        <v>18914246</v>
      </c>
      <c r="Q22" s="12">
        <v>49284233</v>
      </c>
    </row>
    <row r="23" spans="1:17">
      <c r="A23" s="23" t="s">
        <v>157</v>
      </c>
      <c r="B23" s="12">
        <v>11141300</v>
      </c>
      <c r="C23" s="12">
        <v>6797595</v>
      </c>
      <c r="D23" s="12">
        <v>6336423</v>
      </c>
      <c r="E23" s="12">
        <v>4998436</v>
      </c>
      <c r="G23" s="23" t="s">
        <v>158</v>
      </c>
      <c r="H23" s="12">
        <v>6615700</v>
      </c>
      <c r="I23" s="12">
        <v>6830802</v>
      </c>
      <c r="J23" s="12">
        <v>6676705</v>
      </c>
      <c r="K23" s="12">
        <v>6098311</v>
      </c>
      <c r="M23" s="23" t="s">
        <v>159</v>
      </c>
      <c r="N23" s="45"/>
      <c r="O23" s="45"/>
      <c r="P23" s="45"/>
      <c r="Q23" s="45">
        <v>0</v>
      </c>
    </row>
    <row r="24" spans="1:17">
      <c r="A24" s="23" t="s">
        <v>160</v>
      </c>
      <c r="B24" s="17"/>
      <c r="C24" s="17"/>
      <c r="D24" s="17"/>
      <c r="E24" s="17">
        <v>0</v>
      </c>
      <c r="G24" s="23" t="s">
        <v>161</v>
      </c>
      <c r="H24" s="45"/>
      <c r="I24" s="45"/>
      <c r="J24" s="45"/>
      <c r="K24" s="45">
        <v>0</v>
      </c>
      <c r="M24" s="23" t="s">
        <v>162</v>
      </c>
      <c r="N24" s="12">
        <v>1511680</v>
      </c>
      <c r="O24" s="14">
        <v>-24411933</v>
      </c>
      <c r="P24" s="14">
        <v>-16521619</v>
      </c>
      <c r="Q24" s="14">
        <v>-36024922</v>
      </c>
    </row>
    <row r="25" spans="1:17">
      <c r="A25" s="23" t="s">
        <v>31</v>
      </c>
      <c r="B25" s="12">
        <v>46639054</v>
      </c>
      <c r="C25" s="12">
        <v>41896194</v>
      </c>
      <c r="D25" s="12">
        <v>38404593</v>
      </c>
      <c r="E25" s="12">
        <v>36468737</v>
      </c>
      <c r="G25" s="23" t="s">
        <v>163</v>
      </c>
      <c r="H25" s="12">
        <v>7130075</v>
      </c>
      <c r="I25" s="12">
        <v>6836172</v>
      </c>
      <c r="J25" s="12">
        <v>7437987</v>
      </c>
      <c r="K25" s="12">
        <v>7884706</v>
      </c>
      <c r="M25" s="23" t="s">
        <v>164</v>
      </c>
      <c r="N25" s="17"/>
      <c r="O25" s="17"/>
      <c r="P25" s="17"/>
      <c r="Q25" s="17">
        <v>0</v>
      </c>
    </row>
    <row r="26" spans="1:17">
      <c r="A26" s="23" t="s">
        <v>34</v>
      </c>
      <c r="B26" s="17"/>
      <c r="C26" s="17"/>
      <c r="D26" s="17"/>
      <c r="E26" s="17"/>
      <c r="G26" s="23" t="s">
        <v>165</v>
      </c>
      <c r="H26" s="45"/>
      <c r="I26" s="45"/>
      <c r="J26" s="45"/>
      <c r="K26" s="12">
        <v>32279</v>
      </c>
      <c r="M26" s="23" t="s">
        <v>27</v>
      </c>
      <c r="N26" s="14">
        <v>-1141995</v>
      </c>
      <c r="O26" s="14">
        <v>-912215</v>
      </c>
      <c r="P26" s="14">
        <v>-907021</v>
      </c>
      <c r="Q26" s="14">
        <v>-600391</v>
      </c>
    </row>
    <row r="27" spans="1:17">
      <c r="A27" s="23" t="s">
        <v>37</v>
      </c>
      <c r="B27" s="12">
        <v>315619648</v>
      </c>
      <c r="C27" s="12">
        <v>307711555</v>
      </c>
      <c r="D27" s="12">
        <v>279870685</v>
      </c>
      <c r="E27" s="12">
        <v>267382562</v>
      </c>
      <c r="G27" s="23" t="s">
        <v>166</v>
      </c>
      <c r="H27" s="45"/>
      <c r="I27" s="45"/>
      <c r="J27" s="45"/>
      <c r="K27" s="12">
        <v>1043549</v>
      </c>
      <c r="M27" s="23" t="s">
        <v>167</v>
      </c>
      <c r="N27" s="12">
        <v>8767</v>
      </c>
      <c r="O27" s="12">
        <v>31621</v>
      </c>
      <c r="P27" s="17"/>
      <c r="Q27" s="12">
        <v>8626</v>
      </c>
    </row>
    <row r="28" spans="1:17">
      <c r="A28" s="23" t="s">
        <v>168</v>
      </c>
      <c r="B28" s="12">
        <v>23554708</v>
      </c>
      <c r="C28" s="12">
        <v>31798761</v>
      </c>
      <c r="D28" s="12">
        <v>31329572</v>
      </c>
      <c r="E28" s="12">
        <v>25184452</v>
      </c>
      <c r="G28" s="23" t="s">
        <v>169</v>
      </c>
      <c r="H28" s="17"/>
      <c r="I28" s="17"/>
      <c r="J28" s="17"/>
      <c r="K28" s="12">
        <v>3850000</v>
      </c>
      <c r="M28" s="23" t="s">
        <v>170</v>
      </c>
      <c r="N28" s="12">
        <v>378452</v>
      </c>
      <c r="O28" s="14">
        <v>-25292527</v>
      </c>
      <c r="P28" s="14">
        <v>-17428640</v>
      </c>
      <c r="Q28" s="14">
        <v>-36616687</v>
      </c>
    </row>
    <row r="29" spans="1:17">
      <c r="A29" s="6"/>
      <c r="G29" s="23" t="s">
        <v>45</v>
      </c>
      <c r="H29" s="17"/>
      <c r="I29" s="17"/>
      <c r="J29" s="17"/>
      <c r="K29" s="12">
        <v>1875000</v>
      </c>
      <c r="M29" s="23" t="s">
        <v>171</v>
      </c>
      <c r="N29" s="14">
        <v>-2174626</v>
      </c>
      <c r="O29" s="14">
        <v>-3125000</v>
      </c>
      <c r="P29" s="14">
        <v>-5250000</v>
      </c>
      <c r="Q29" s="14">
        <v>-4875000</v>
      </c>
    </row>
    <row r="30" spans="1:17">
      <c r="A30" s="6"/>
      <c r="G30" s="23" t="s">
        <v>172</v>
      </c>
      <c r="H30" s="17"/>
      <c r="I30" s="17"/>
      <c r="J30" s="17"/>
      <c r="K30" s="12">
        <v>1148436</v>
      </c>
      <c r="M30" s="23" t="s">
        <v>173</v>
      </c>
      <c r="N30" s="14">
        <v>-2174626</v>
      </c>
      <c r="O30" s="14">
        <v>-3125000</v>
      </c>
      <c r="P30" s="14">
        <v>-5250000</v>
      </c>
      <c r="Q30" s="14">
        <v>-4875000</v>
      </c>
    </row>
    <row r="31" spans="1:17">
      <c r="A31" s="6"/>
      <c r="G31" s="6"/>
      <c r="M31" s="23" t="s">
        <v>174</v>
      </c>
      <c r="N31" s="14">
        <v>-9849505</v>
      </c>
      <c r="O31" s="14">
        <v>-332847</v>
      </c>
      <c r="P31" s="14">
        <v>-3764394</v>
      </c>
      <c r="Q31" s="12">
        <v>7792546</v>
      </c>
    </row>
    <row r="32" spans="1:17">
      <c r="A32" s="6"/>
      <c r="G32" s="6"/>
      <c r="M32" s="23" t="s">
        <v>175</v>
      </c>
      <c r="N32" s="12">
        <v>22231985</v>
      </c>
      <c r="O32" s="12">
        <v>22564832</v>
      </c>
      <c r="P32" s="12">
        <v>26329226</v>
      </c>
      <c r="Q32" s="12">
        <v>18622071</v>
      </c>
    </row>
    <row r="33" spans="1:17">
      <c r="A33" s="6"/>
      <c r="G33" s="6"/>
      <c r="M33" s="23" t="s">
        <v>176</v>
      </c>
      <c r="N33" s="12">
        <v>12382480</v>
      </c>
      <c r="O33" s="12">
        <v>22231985</v>
      </c>
      <c r="P33" s="12">
        <v>22564832</v>
      </c>
      <c r="Q33" s="12">
        <v>26414617</v>
      </c>
    </row>
    <row r="34" spans="1:17">
      <c r="A34" s="29"/>
      <c r="B34" s="30"/>
      <c r="C34" s="30"/>
      <c r="D34" s="30"/>
      <c r="E34" s="30"/>
      <c r="G34" s="29"/>
      <c r="H34" s="31"/>
      <c r="I34" s="31"/>
      <c r="J34" s="31"/>
      <c r="K34" s="31"/>
      <c r="L34" s="31"/>
      <c r="M34" s="2" t="s">
        <v>118</v>
      </c>
      <c r="N34" s="4">
        <f>N22-N26</f>
        <v>-6911336</v>
      </c>
      <c r="O34" s="4">
        <f>O22-O26</f>
        <v>28996895</v>
      </c>
      <c r="P34" s="4">
        <f>P22-P26</f>
        <v>19821267</v>
      </c>
      <c r="Q34" s="4">
        <f>Q22-Q26</f>
        <v>49884624</v>
      </c>
    </row>
    <row r="35" spans="1:17">
      <c r="A35" s="29" t="s">
        <v>60</v>
      </c>
      <c r="B35" s="31">
        <f>H17/B15</f>
        <v>4.3551708796025275E-2</v>
      </c>
      <c r="C35" s="31">
        <f>I17/C15</f>
        <v>4.4414887182250923E-2</v>
      </c>
      <c r="D35" s="31">
        <f>J17/D15</f>
        <v>5.0432906183082375E-2</v>
      </c>
      <c r="E35" s="31">
        <f>K17/E15</f>
        <v>5.2295919731668965E-2</v>
      </c>
      <c r="F35" s="31"/>
      <c r="G35" s="29" t="s">
        <v>61</v>
      </c>
      <c r="H35" s="31">
        <f>H21/H17</f>
        <v>0.10030827654315599</v>
      </c>
      <c r="I35" s="31">
        <f>I21/I17</f>
        <v>9.7663974483305521E-2</v>
      </c>
      <c r="J35" s="31">
        <f>J21/J17</f>
        <v>7.9040052733704708E-2</v>
      </c>
      <c r="K35" s="31">
        <f>K21/K17</f>
        <v>7.5868247889564894E-2</v>
      </c>
      <c r="M35" s="6"/>
    </row>
    <row r="36" spans="1:17">
      <c r="A36" s="29" t="s">
        <v>62</v>
      </c>
      <c r="B36" s="31">
        <f>H17/B25</f>
        <v>0.29472671122360244</v>
      </c>
      <c r="C36" s="31">
        <f>I17/C25</f>
        <v>0.32621039514949735</v>
      </c>
      <c r="D36" s="31">
        <f>J17/D25</f>
        <v>0.36752614459421562</v>
      </c>
      <c r="E36" s="31">
        <f>K17/E25</f>
        <v>0.38342476735621528</v>
      </c>
      <c r="G36" s="29"/>
      <c r="H36" s="31"/>
      <c r="I36" s="31"/>
      <c r="J36" s="31"/>
      <c r="K36" s="31"/>
      <c r="M36" s="6"/>
    </row>
    <row r="37" spans="1:17">
      <c r="A37" s="29" t="s">
        <v>177</v>
      </c>
      <c r="B37" s="49">
        <f>H25/(B15-B12-B13)</f>
        <v>2.3345949967555693E-2</v>
      </c>
      <c r="C37" s="49">
        <f>I25/(C15-C12-C13)</f>
        <v>2.2894756217303788E-2</v>
      </c>
      <c r="D37" s="49">
        <f>J25/(D15-D12-D13)</f>
        <v>2.7336100240559574E-2</v>
      </c>
      <c r="E37" s="49">
        <f>K25/(E15-E12-E13)</f>
        <v>3.0270491844691053E-2</v>
      </c>
      <c r="G37" s="29" t="s">
        <v>64</v>
      </c>
      <c r="H37" s="31">
        <f>H25/H22</f>
        <v>3.6414626983822984</v>
      </c>
      <c r="I37" s="31">
        <f>I25/I22</f>
        <v>2.9565928935432768</v>
      </c>
      <c r="J37" s="31">
        <f>J25/J22</f>
        <v>2.8396384131440593</v>
      </c>
      <c r="K37" s="31">
        <f>K25/K22</f>
        <v>3.3998008767803269</v>
      </c>
      <c r="M37" s="6"/>
    </row>
    <row r="38" spans="1:17">
      <c r="A38" s="29" t="s">
        <v>65</v>
      </c>
      <c r="B38" s="31">
        <f>B19/B15</f>
        <v>0.85223019449029991</v>
      </c>
      <c r="C38" s="31">
        <f>C19/C15</f>
        <v>0.86384588645038041</v>
      </c>
      <c r="D38" s="31">
        <f>D19/D15</f>
        <v>0.86277736448174269</v>
      </c>
      <c r="E38" s="31">
        <f>E19/E15</f>
        <v>0.86360839417792701</v>
      </c>
      <c r="G38" s="29" t="s">
        <v>66</v>
      </c>
      <c r="H38" s="31">
        <f>H23/H17</f>
        <v>0.48128970538219928</v>
      </c>
      <c r="I38" s="31">
        <f>I23/I17</f>
        <v>0.49980354100329744</v>
      </c>
      <c r="J38" s="31">
        <f>J23/J17</f>
        <v>0.47303228437432426</v>
      </c>
      <c r="K38" s="31">
        <f>K23/K17</f>
        <v>0.43612269083274374</v>
      </c>
      <c r="M38" s="6"/>
    </row>
    <row r="39" spans="1:17">
      <c r="A39" s="29" t="s">
        <v>67</v>
      </c>
      <c r="B39" s="31">
        <f>B19/B25</f>
        <v>5.7672823724083253</v>
      </c>
      <c r="C39" s="31">
        <f>C19/C25</f>
        <v>6.3446183440911126</v>
      </c>
      <c r="D39" s="31">
        <f>D19/D25</f>
        <v>6.2874274438997437</v>
      </c>
      <c r="E39" s="31">
        <f>E19/E25</f>
        <v>6.3318295064619319</v>
      </c>
      <c r="G39" s="36" t="s">
        <v>72</v>
      </c>
      <c r="H39" s="37">
        <f>H25/$B$5/1000</f>
        <v>4.7533833333333328</v>
      </c>
      <c r="I39" s="37">
        <f>I25/$B$5/1000</f>
        <v>4.5574479999999999</v>
      </c>
      <c r="J39" s="37">
        <f>J25/$B$5/1000</f>
        <v>4.9586580000000007</v>
      </c>
      <c r="K39" s="37">
        <f>K25/$B$5/1000</f>
        <v>5.256470666666667</v>
      </c>
      <c r="M39" s="6"/>
    </row>
    <row r="40" spans="1:17">
      <c r="A40" s="29" t="s">
        <v>178</v>
      </c>
      <c r="B40" s="31">
        <f>B10/B17</f>
        <v>0.98133287028698279</v>
      </c>
      <c r="C40" s="31">
        <f>C10/C17</f>
        <v>0.97037038622208105</v>
      </c>
      <c r="D40" s="31">
        <f>D10/D17</f>
        <v>0.977534220272263</v>
      </c>
      <c r="E40" s="31">
        <f>E10/E17</f>
        <v>0.96150146951167847</v>
      </c>
      <c r="G40" s="36" t="s">
        <v>73</v>
      </c>
      <c r="H40" s="37">
        <f>B27/$B$5/1000</f>
        <v>210.41309866666666</v>
      </c>
      <c r="I40" s="37">
        <f>C27/$B$5/1000</f>
        <v>205.14103666666665</v>
      </c>
      <c r="J40" s="37">
        <f>D27/$B$5/1000</f>
        <v>186.58045666666666</v>
      </c>
      <c r="K40" s="37">
        <f>E27/$B$5/1000</f>
        <v>178.25504133333334</v>
      </c>
      <c r="M40" s="6"/>
    </row>
    <row r="41" spans="1:17">
      <c r="A41" s="29" t="s">
        <v>71</v>
      </c>
      <c r="B41" s="30">
        <f>B15/B25</f>
        <v>6.7672823724083253</v>
      </c>
      <c r="C41" s="30">
        <f>C15/C25</f>
        <v>7.3446183440911126</v>
      </c>
      <c r="D41" s="30">
        <f>D15/D25</f>
        <v>7.2874274438997437</v>
      </c>
      <c r="E41" s="30">
        <f>E15/E25</f>
        <v>7.3318295064619319</v>
      </c>
      <c r="G41" s="33" t="s">
        <v>74</v>
      </c>
      <c r="H41" s="38">
        <f>SQRT(16*H39*H40)</f>
        <v>126.5021180102313</v>
      </c>
      <c r="I41" s="38">
        <f>SQRT(16*I39*I40)</f>
        <v>122.3058204518118</v>
      </c>
      <c r="J41" s="38">
        <f>SQRT(16*J39*J40)</f>
        <v>121.66765710533396</v>
      </c>
      <c r="K41" s="38">
        <f>SQRT(16*K39*K40)</f>
        <v>122.44132609240205</v>
      </c>
      <c r="M41" s="6"/>
    </row>
    <row r="42" spans="1:17">
      <c r="A42" s="29" t="s">
        <v>179</v>
      </c>
      <c r="B42" s="31">
        <f>B11/B17</f>
        <v>0</v>
      </c>
      <c r="C42" s="31">
        <f>C11/C17</f>
        <v>0</v>
      </c>
      <c r="D42" s="31">
        <f>D11/D17</f>
        <v>1.186899489528249E-3</v>
      </c>
      <c r="E42" s="31">
        <f>E11/E17</f>
        <v>1.3198434595485314E-3</v>
      </c>
      <c r="G42" s="2" t="s">
        <v>180</v>
      </c>
      <c r="H42" s="39">
        <f>H39-(B25*0.1/1000/$B$5)</f>
        <v>1.6441130666666659</v>
      </c>
      <c r="I42" s="39">
        <f>I39-(C25*0.1/1000/$B$5)</f>
        <v>1.7643683999999995</v>
      </c>
      <c r="J42" s="39">
        <f>J39-(D25*0.1/1000/$B$5)</f>
        <v>2.3983518000000004</v>
      </c>
      <c r="K42" s="39">
        <f>K39-(E25*0.1/1000/$B$5)</f>
        <v>2.8252215333333335</v>
      </c>
      <c r="M42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zoomScaleNormal="100" workbookViewId="0"/>
  </sheetViews>
  <sheetFormatPr defaultRowHeight="15"/>
  <cols>
    <col min="1" max="29" width="15.140625"/>
    <col min="30" max="1025" width="14.42578125"/>
  </cols>
  <sheetData>
    <row r="1" spans="1:20">
      <c r="A1" s="2"/>
      <c r="B1" s="1">
        <v>3030</v>
      </c>
      <c r="C1" s="1">
        <v>3030</v>
      </c>
    </row>
    <row r="2" spans="1:20">
      <c r="A2" s="2"/>
      <c r="B2" t="str">
        <f ca="1">IFERROR(__xludf.dummyfunction("GoogleFinance(""TADAWUL:""&amp;B1,""eps"")"),"3.48")</f>
        <v>3.48</v>
      </c>
      <c r="C2" t="str">
        <f ca="1">IFERROR(__xludf.dummyfunction("GoogleFinance(""TADAWUL:""&amp;B1,""eps"")"),"3.48")</f>
        <v>3.48</v>
      </c>
    </row>
    <row r="3" spans="1:20">
      <c r="A3" s="2"/>
    </row>
    <row r="4" spans="1:20">
      <c r="A4" s="2"/>
    </row>
    <row r="5" spans="1:20">
      <c r="A5" s="2" t="s">
        <v>0</v>
      </c>
      <c r="B5" s="3" t="str">
        <f ca="1">IFERROR(__xludf.dummyfunction("GoogleFinance(""TADAWUL:""&amp;B1,""marketcap"")/1000"),"6,190,077.11")</f>
        <v>6,190,077.11</v>
      </c>
      <c r="C5" s="3" t="str">
        <f ca="1">IFERROR(__xludf.dummyfunction("GoogleFinance(""TADAWUL:""&amp;B1,""marketcap"")/1000"),"6,190,077.11")</f>
        <v>6,190,077.11</v>
      </c>
    </row>
    <row r="6" spans="1:20">
      <c r="A6" s="2" t="s">
        <v>1</v>
      </c>
      <c r="B6" s="4">
        <f ca="1">B5+(B22-B20)-N23</f>
        <v>7165557.1100000003</v>
      </c>
      <c r="C6" s="4" t="e">
        <f ca="1">C5+(C22-C20)-O23</f>
        <v>#VALUE!</v>
      </c>
    </row>
    <row r="7" spans="1:20">
      <c r="A7" s="2" t="s">
        <v>2</v>
      </c>
      <c r="B7" s="5" t="str">
        <f ca="1">IFERROR(__xludf.dummyfunction("GoogleFinance(""TADAWUL:""&amp;B1,""shares"")/1000000"),"152.84141")</f>
        <v>152.84141</v>
      </c>
      <c r="C7" s="5" t="str">
        <f ca="1">IFERROR(__xludf.dummyfunction("GoogleFinance(""TADAWUL:""&amp;B1,""shares"")/1000000"),"152.84141")</f>
        <v>152.84141</v>
      </c>
    </row>
    <row r="10" spans="1:20">
      <c r="A10" s="7" t="s">
        <v>3</v>
      </c>
      <c r="B10" s="8">
        <v>42735</v>
      </c>
      <c r="C10" s="8">
        <v>42369</v>
      </c>
      <c r="D10" s="8">
        <v>42004</v>
      </c>
      <c r="E10" s="8">
        <v>41639</v>
      </c>
      <c r="F10" s="9">
        <v>41274</v>
      </c>
      <c r="H10" s="7" t="s">
        <v>4</v>
      </c>
      <c r="I10" s="8">
        <v>42735</v>
      </c>
      <c r="J10" s="8">
        <v>42369</v>
      </c>
      <c r="K10" s="8">
        <v>42004</v>
      </c>
      <c r="L10" s="8">
        <v>41639</v>
      </c>
      <c r="M10" s="9">
        <v>41274</v>
      </c>
      <c r="O10" s="7" t="s">
        <v>5</v>
      </c>
      <c r="P10" s="8">
        <v>42735</v>
      </c>
      <c r="Q10" s="8">
        <v>42369</v>
      </c>
      <c r="R10" s="8">
        <v>42004</v>
      </c>
      <c r="S10" s="8">
        <v>41639</v>
      </c>
      <c r="T10" s="9">
        <v>41274</v>
      </c>
    </row>
    <row r="11" spans="1:20">
      <c r="A11" s="10" t="s">
        <v>6</v>
      </c>
      <c r="B11" s="11">
        <v>483316</v>
      </c>
      <c r="C11" s="11">
        <v>661297</v>
      </c>
      <c r="D11" s="11">
        <v>571506</v>
      </c>
      <c r="E11" s="11">
        <v>449854</v>
      </c>
      <c r="F11" s="12">
        <v>478893</v>
      </c>
      <c r="H11" s="10" t="s">
        <v>7</v>
      </c>
      <c r="I11" s="11">
        <v>1778139</v>
      </c>
      <c r="J11" s="11">
        <v>1932393</v>
      </c>
      <c r="K11" s="11">
        <v>2024587</v>
      </c>
      <c r="L11" s="11">
        <v>2187255</v>
      </c>
      <c r="M11" s="12">
        <v>2203447</v>
      </c>
      <c r="O11" s="10" t="s">
        <v>8</v>
      </c>
      <c r="P11" s="11">
        <v>920070</v>
      </c>
      <c r="Q11" s="11">
        <v>963114</v>
      </c>
      <c r="R11" s="11">
        <v>1111011</v>
      </c>
      <c r="S11" s="11">
        <v>1171031</v>
      </c>
      <c r="T11" s="12">
        <v>1142452</v>
      </c>
    </row>
    <row r="12" spans="1:20">
      <c r="A12" s="10" t="s">
        <v>9</v>
      </c>
      <c r="B12" s="11">
        <v>817469</v>
      </c>
      <c r="C12" s="11">
        <v>754934</v>
      </c>
      <c r="D12" s="11">
        <v>657963</v>
      </c>
      <c r="E12" s="11">
        <v>536554</v>
      </c>
      <c r="F12" s="12">
        <v>322714</v>
      </c>
      <c r="H12" s="10" t="s">
        <v>10</v>
      </c>
      <c r="I12" s="11">
        <v>749139</v>
      </c>
      <c r="J12" s="11">
        <v>796371</v>
      </c>
      <c r="K12" s="11">
        <v>795530</v>
      </c>
      <c r="L12" s="11">
        <v>902993</v>
      </c>
      <c r="M12" s="12">
        <v>974237</v>
      </c>
      <c r="O12" s="10" t="s">
        <v>11</v>
      </c>
      <c r="P12" s="11">
        <v>216293</v>
      </c>
      <c r="Q12" s="11">
        <v>219296</v>
      </c>
      <c r="R12" s="11">
        <v>205236</v>
      </c>
      <c r="S12" s="11">
        <v>199999</v>
      </c>
      <c r="T12" s="12">
        <v>200747</v>
      </c>
    </row>
    <row r="13" spans="1:20">
      <c r="A13" s="10" t="s">
        <v>12</v>
      </c>
      <c r="B13" s="11">
        <v>60100</v>
      </c>
      <c r="C13" s="11">
        <v>82800</v>
      </c>
      <c r="D13" s="11">
        <v>86878</v>
      </c>
      <c r="E13" s="11">
        <v>91464</v>
      </c>
      <c r="F13" s="12">
        <v>97506</v>
      </c>
      <c r="H13" s="10" t="s">
        <v>13</v>
      </c>
      <c r="I13" s="11">
        <v>1029000</v>
      </c>
      <c r="J13" s="11">
        <v>1136022</v>
      </c>
      <c r="K13" s="11">
        <v>1229057</v>
      </c>
      <c r="L13" s="11">
        <v>1284262</v>
      </c>
      <c r="M13" s="12">
        <v>1229210</v>
      </c>
      <c r="O13" s="10" t="s">
        <v>14</v>
      </c>
      <c r="P13" s="13">
        <v>-21199</v>
      </c>
      <c r="Q13" s="11">
        <v>1725</v>
      </c>
      <c r="R13" s="11">
        <v>63324</v>
      </c>
      <c r="S13" s="13">
        <v>-84270</v>
      </c>
      <c r="T13" s="14">
        <v>-26700</v>
      </c>
    </row>
    <row r="14" spans="1:20">
      <c r="A14" s="10" t="s">
        <v>15</v>
      </c>
      <c r="B14" s="11">
        <v>2890059</v>
      </c>
      <c r="C14" s="11">
        <v>3014558</v>
      </c>
      <c r="D14" s="11">
        <v>3168093</v>
      </c>
      <c r="E14" s="11">
        <v>3293023</v>
      </c>
      <c r="F14" s="12">
        <v>3434049</v>
      </c>
      <c r="H14" s="10" t="s">
        <v>16</v>
      </c>
      <c r="I14" s="11">
        <v>9319</v>
      </c>
      <c r="J14" s="11">
        <v>12846</v>
      </c>
      <c r="K14" s="11">
        <v>2814</v>
      </c>
      <c r="L14" s="13">
        <v>-2009</v>
      </c>
      <c r="M14" s="12">
        <v>14980</v>
      </c>
      <c r="O14" s="10" t="s">
        <v>9</v>
      </c>
      <c r="P14" s="13">
        <v>-62535</v>
      </c>
      <c r="Q14" s="13">
        <v>-86406</v>
      </c>
      <c r="R14" s="13">
        <v>-121409</v>
      </c>
      <c r="S14" s="13">
        <v>-213840</v>
      </c>
      <c r="T14" s="12">
        <v>156153</v>
      </c>
    </row>
    <row r="15" spans="1:20">
      <c r="A15" s="10" t="s">
        <v>17</v>
      </c>
      <c r="B15" s="18" t="s">
        <v>84</v>
      </c>
      <c r="C15" s="18" t="s">
        <v>84</v>
      </c>
      <c r="D15" s="18" t="s">
        <v>84</v>
      </c>
      <c r="E15" s="18" t="s">
        <v>84</v>
      </c>
      <c r="F15" s="45">
        <v>0</v>
      </c>
      <c r="H15" s="10" t="s">
        <v>18</v>
      </c>
      <c r="I15" s="11">
        <v>1038319</v>
      </c>
      <c r="J15" s="11">
        <v>1148868</v>
      </c>
      <c r="K15" s="11">
        <v>1231871</v>
      </c>
      <c r="L15" s="11">
        <v>1282253</v>
      </c>
      <c r="M15" s="12">
        <v>1244190</v>
      </c>
      <c r="O15" s="10" t="s">
        <v>19</v>
      </c>
      <c r="P15" s="18" t="s">
        <v>84</v>
      </c>
      <c r="Q15" s="18" t="s">
        <v>84</v>
      </c>
      <c r="R15" s="18" t="s">
        <v>84</v>
      </c>
      <c r="S15" s="18" t="s">
        <v>84</v>
      </c>
      <c r="T15" s="45">
        <v>0</v>
      </c>
    </row>
    <row r="16" spans="1:20">
      <c r="A16" s="10" t="s">
        <v>20</v>
      </c>
      <c r="B16" s="11">
        <v>4250944</v>
      </c>
      <c r="C16" s="11">
        <v>4513589</v>
      </c>
      <c r="D16" s="11">
        <v>4484440</v>
      </c>
      <c r="E16" s="11">
        <v>4370895</v>
      </c>
      <c r="F16" s="12">
        <v>4333162</v>
      </c>
      <c r="H16" s="10" t="s">
        <v>21</v>
      </c>
      <c r="I16" s="11">
        <v>96267</v>
      </c>
      <c r="J16" s="11">
        <v>106256</v>
      </c>
      <c r="K16" s="11">
        <v>105614</v>
      </c>
      <c r="L16" s="11">
        <v>97887</v>
      </c>
      <c r="M16" s="12">
        <v>87153</v>
      </c>
      <c r="O16" s="10" t="s">
        <v>22</v>
      </c>
      <c r="P16" s="11">
        <v>43403</v>
      </c>
      <c r="Q16" s="11">
        <v>48977</v>
      </c>
      <c r="R16" s="11">
        <v>39891</v>
      </c>
      <c r="S16" s="11">
        <v>26133</v>
      </c>
      <c r="T16" s="12">
        <v>6182</v>
      </c>
    </row>
    <row r="17" spans="1:29">
      <c r="A17" s="10" t="s">
        <v>23</v>
      </c>
      <c r="B17" s="11">
        <v>884203</v>
      </c>
      <c r="C17" s="11">
        <v>1166451</v>
      </c>
      <c r="D17" s="11">
        <v>1063700</v>
      </c>
      <c r="E17" s="11">
        <v>841467</v>
      </c>
      <c r="F17" s="12">
        <v>767386</v>
      </c>
      <c r="H17" s="10" t="s">
        <v>11</v>
      </c>
      <c r="I17" s="15" t="s">
        <v>84</v>
      </c>
      <c r="J17" s="15" t="s">
        <v>84</v>
      </c>
      <c r="K17" s="15" t="s">
        <v>84</v>
      </c>
      <c r="L17" s="15" t="s">
        <v>84</v>
      </c>
      <c r="M17" s="17">
        <v>0</v>
      </c>
      <c r="O17" s="10" t="s">
        <v>24</v>
      </c>
      <c r="P17" s="13">
        <v>-17557</v>
      </c>
      <c r="Q17" s="11">
        <v>37676</v>
      </c>
      <c r="R17" s="13">
        <v>-26924</v>
      </c>
      <c r="S17" s="13">
        <v>-24213</v>
      </c>
      <c r="T17" s="14">
        <v>-46874</v>
      </c>
    </row>
    <row r="18" spans="1:29">
      <c r="A18" s="10" t="s">
        <v>25</v>
      </c>
      <c r="B18" s="11">
        <v>91277</v>
      </c>
      <c r="C18" s="11">
        <v>91316</v>
      </c>
      <c r="D18" s="11">
        <v>211410</v>
      </c>
      <c r="E18" s="11">
        <v>320982</v>
      </c>
      <c r="F18" s="12">
        <v>407922</v>
      </c>
      <c r="H18" s="10" t="s">
        <v>26</v>
      </c>
      <c r="I18" s="11">
        <v>16937</v>
      </c>
      <c r="J18" s="11">
        <v>78211</v>
      </c>
      <c r="K18" s="11">
        <v>15246</v>
      </c>
      <c r="L18" s="11">
        <v>13335</v>
      </c>
      <c r="M18" s="12">
        <v>14585</v>
      </c>
      <c r="O18" s="10" t="s">
        <v>27</v>
      </c>
      <c r="P18" s="13">
        <v>-93772</v>
      </c>
      <c r="Q18" s="13">
        <v>-127398</v>
      </c>
      <c r="R18" s="13">
        <v>-80201</v>
      </c>
      <c r="S18" s="13">
        <v>-56771</v>
      </c>
      <c r="T18" s="14">
        <v>-59021</v>
      </c>
    </row>
    <row r="19" spans="1:29">
      <c r="A19" s="10" t="s">
        <v>28</v>
      </c>
      <c r="B19" s="18" t="s">
        <v>84</v>
      </c>
      <c r="C19" s="18" t="s">
        <v>84</v>
      </c>
      <c r="D19" s="18" t="s">
        <v>84</v>
      </c>
      <c r="E19" s="18" t="s">
        <v>84</v>
      </c>
      <c r="F19" s="45">
        <v>0</v>
      </c>
      <c r="H19" s="10" t="s">
        <v>29</v>
      </c>
      <c r="I19" s="11">
        <v>113204</v>
      </c>
      <c r="J19" s="11">
        <v>184467</v>
      </c>
      <c r="K19" s="11">
        <v>120860</v>
      </c>
      <c r="L19" s="11">
        <v>111222</v>
      </c>
      <c r="M19" s="12">
        <v>101738</v>
      </c>
      <c r="O19" s="10" t="s">
        <v>30</v>
      </c>
      <c r="P19" s="11">
        <v>28067</v>
      </c>
      <c r="Q19" s="11">
        <v>6367</v>
      </c>
      <c r="R19" s="11">
        <v>2377</v>
      </c>
      <c r="S19" s="11">
        <v>3750</v>
      </c>
      <c r="T19" s="12">
        <v>202</v>
      </c>
    </row>
    <row r="20" spans="1:29">
      <c r="A20" s="10" t="s">
        <v>31</v>
      </c>
      <c r="B20" s="11">
        <v>3275464</v>
      </c>
      <c r="C20" s="11">
        <v>3255822</v>
      </c>
      <c r="D20" s="11">
        <v>3209330</v>
      </c>
      <c r="E20" s="11">
        <v>3208446</v>
      </c>
      <c r="F20" s="12">
        <v>3157854</v>
      </c>
      <c r="H20" s="10" t="s">
        <v>32</v>
      </c>
      <c r="I20" s="11">
        <v>925115</v>
      </c>
      <c r="J20" s="11">
        <v>964401</v>
      </c>
      <c r="K20" s="11">
        <v>1111011</v>
      </c>
      <c r="L20" s="11">
        <v>1171031</v>
      </c>
      <c r="M20" s="12">
        <v>1142452</v>
      </c>
      <c r="O20" s="10" t="s">
        <v>33</v>
      </c>
      <c r="P20" s="13">
        <v>-320000</v>
      </c>
      <c r="Q20" s="13">
        <v>-115000</v>
      </c>
      <c r="R20" s="11">
        <v>75000</v>
      </c>
      <c r="S20" s="13">
        <v>-60000</v>
      </c>
      <c r="T20" s="14">
        <v>-150000</v>
      </c>
    </row>
    <row r="21" spans="1:29">
      <c r="A21" s="10" t="s">
        <v>34</v>
      </c>
      <c r="B21" s="15" t="s">
        <v>84</v>
      </c>
      <c r="C21" s="15" t="s">
        <v>84</v>
      </c>
      <c r="D21" s="15" t="s">
        <v>84</v>
      </c>
      <c r="E21" s="18" t="s">
        <v>84</v>
      </c>
      <c r="F21" s="17"/>
      <c r="H21" s="10" t="s">
        <v>35</v>
      </c>
      <c r="I21" s="11">
        <v>23523</v>
      </c>
      <c r="J21" s="11">
        <v>24209</v>
      </c>
      <c r="K21" s="11">
        <v>36927</v>
      </c>
      <c r="L21" s="11">
        <v>47239</v>
      </c>
      <c r="M21" s="12">
        <v>40663</v>
      </c>
      <c r="O21" s="10" t="s">
        <v>36</v>
      </c>
      <c r="P21" s="13">
        <v>-891950</v>
      </c>
      <c r="Q21" s="13">
        <v>-863700</v>
      </c>
      <c r="R21" s="13">
        <v>-1083329</v>
      </c>
      <c r="S21" s="13">
        <v>-1075128</v>
      </c>
      <c r="T21" s="14">
        <v>-1228176</v>
      </c>
    </row>
    <row r="22" spans="1:29">
      <c r="A22" s="10" t="s">
        <v>37</v>
      </c>
      <c r="B22" s="11">
        <v>4250944</v>
      </c>
      <c r="C22" s="11">
        <v>4513589</v>
      </c>
      <c r="D22" s="11">
        <v>4484440</v>
      </c>
      <c r="E22" s="11">
        <v>4370895</v>
      </c>
      <c r="F22" s="12">
        <v>4333162</v>
      </c>
      <c r="H22" s="10" t="s">
        <v>8</v>
      </c>
      <c r="I22" s="11">
        <v>901592</v>
      </c>
      <c r="J22" s="11">
        <v>940192</v>
      </c>
      <c r="K22" s="11">
        <v>1074084</v>
      </c>
      <c r="L22" s="11">
        <v>1123792</v>
      </c>
      <c r="M22" s="12">
        <v>1101789</v>
      </c>
      <c r="O22" s="10" t="s">
        <v>38</v>
      </c>
      <c r="P22" s="11">
        <v>383000</v>
      </c>
      <c r="Q22" s="11">
        <v>298349</v>
      </c>
      <c r="R22" s="11">
        <v>113373</v>
      </c>
      <c r="S22" s="11">
        <v>226682</v>
      </c>
      <c r="T22" s="12">
        <v>231717</v>
      </c>
    </row>
    <row r="23" spans="1:29">
      <c r="H23" s="10" t="s">
        <v>39</v>
      </c>
      <c r="I23" s="11">
        <v>940822</v>
      </c>
      <c r="J23" s="11">
        <v>844330</v>
      </c>
      <c r="K23" s="11">
        <v>843446</v>
      </c>
      <c r="L23" s="11">
        <v>792854</v>
      </c>
      <c r="M23" s="12">
        <v>1023190</v>
      </c>
      <c r="O23" s="10" t="s">
        <v>40</v>
      </c>
      <c r="P23" s="11">
        <v>183820</v>
      </c>
      <c r="Q23" s="11">
        <v>383000</v>
      </c>
      <c r="R23" s="11">
        <v>298349</v>
      </c>
      <c r="S23" s="11">
        <v>113373</v>
      </c>
      <c r="T23" s="12">
        <v>226682</v>
      </c>
    </row>
    <row r="24" spans="1:29">
      <c r="H24" s="10" t="s">
        <v>41</v>
      </c>
      <c r="I24" s="13">
        <v>-20000</v>
      </c>
      <c r="J24" s="18" t="s">
        <v>84</v>
      </c>
      <c r="K24" s="18" t="s">
        <v>84</v>
      </c>
      <c r="L24" s="18" t="s">
        <v>84</v>
      </c>
      <c r="M24" s="12">
        <v>105925</v>
      </c>
      <c r="O24" s="2" t="s">
        <v>42</v>
      </c>
      <c r="P24" s="12">
        <f>SUM(P11:P17)</f>
        <v>1078475</v>
      </c>
      <c r="Q24" s="12">
        <f>SUM(Q11:Q17)</f>
        <v>1184382</v>
      </c>
      <c r="R24" s="12">
        <f>SUM(R11:R17)</f>
        <v>1271129</v>
      </c>
      <c r="S24" s="12">
        <f>SUM(S11:S17)</f>
        <v>1074840</v>
      </c>
      <c r="T24" s="12">
        <f>SUM(T11:T17)</f>
        <v>1431960</v>
      </c>
    </row>
    <row r="25" spans="1:29">
      <c r="H25" s="10" t="s">
        <v>43</v>
      </c>
      <c r="I25" s="11">
        <v>420750</v>
      </c>
      <c r="J25" s="11">
        <v>459000</v>
      </c>
      <c r="K25" s="11">
        <v>384700</v>
      </c>
      <c r="L25" s="11">
        <v>535500</v>
      </c>
      <c r="M25" s="12">
        <v>535500</v>
      </c>
      <c r="O25" s="2" t="s">
        <v>44</v>
      </c>
      <c r="P25" s="12">
        <f>P18+P19</f>
        <v>-65705</v>
      </c>
      <c r="Q25" s="12">
        <f>Q18+Q19</f>
        <v>-121031</v>
      </c>
      <c r="R25" s="12">
        <f>R18+R19</f>
        <v>-77824</v>
      </c>
      <c r="S25" s="12">
        <f>S18+S19</f>
        <v>-53021</v>
      </c>
      <c r="T25" s="12">
        <f>T18+T19</f>
        <v>-58819</v>
      </c>
    </row>
    <row r="26" spans="1:29">
      <c r="H26" s="10" t="s">
        <v>45</v>
      </c>
      <c r="I26" s="11">
        <v>881950</v>
      </c>
      <c r="J26" s="11">
        <v>843700</v>
      </c>
      <c r="K26" s="11">
        <v>1073200</v>
      </c>
      <c r="L26" s="11">
        <v>1073200</v>
      </c>
      <c r="M26" s="12">
        <v>1226200</v>
      </c>
      <c r="O26" s="2" t="s">
        <v>46</v>
      </c>
      <c r="P26" s="12">
        <f>P20+P21</f>
        <v>-1211950</v>
      </c>
      <c r="Q26" s="12">
        <f>Q20+Q21</f>
        <v>-978700</v>
      </c>
      <c r="R26" s="12">
        <f>R20+R21</f>
        <v>-1008329</v>
      </c>
      <c r="S26" s="12">
        <f>S20+S21</f>
        <v>-1135128</v>
      </c>
      <c r="T26" s="12">
        <f>T20+T21</f>
        <v>-1378176</v>
      </c>
    </row>
    <row r="27" spans="1:29">
      <c r="H27" s="10" t="s">
        <v>47</v>
      </c>
      <c r="I27" s="11">
        <v>559714</v>
      </c>
      <c r="J27" s="11">
        <v>481822</v>
      </c>
      <c r="K27" s="11">
        <v>459630</v>
      </c>
      <c r="L27" s="11">
        <v>307946</v>
      </c>
      <c r="M27" s="12">
        <v>257354</v>
      </c>
      <c r="O27" s="2" t="s">
        <v>48</v>
      </c>
      <c r="P27" s="12">
        <f>P24+P25+P26</f>
        <v>-199180</v>
      </c>
      <c r="Q27" s="12">
        <f>Q24+Q25+Q26</f>
        <v>84651</v>
      </c>
      <c r="R27" s="12">
        <f>R24+R25+R26</f>
        <v>184976</v>
      </c>
      <c r="S27" s="12">
        <f>S24+S25+S26</f>
        <v>-113309</v>
      </c>
      <c r="T27" s="12">
        <f>T24+T25+T26</f>
        <v>-5035</v>
      </c>
    </row>
    <row r="28" spans="1:29">
      <c r="O28" s="2"/>
      <c r="P28" s="12"/>
      <c r="Q28" s="12"/>
      <c r="R28" s="12"/>
    </row>
    <row r="29" spans="1:29">
      <c r="A29" s="20" t="s">
        <v>3</v>
      </c>
      <c r="B29" s="9"/>
      <c r="C29" s="9">
        <v>42369</v>
      </c>
      <c r="D29" s="9">
        <v>42004</v>
      </c>
      <c r="E29" s="9">
        <v>41639</v>
      </c>
      <c r="F29" s="9">
        <v>41274</v>
      </c>
      <c r="G29" s="6"/>
      <c r="H29" s="21" t="s">
        <v>4</v>
      </c>
      <c r="I29" s="22"/>
      <c r="J29" s="22">
        <v>42369</v>
      </c>
      <c r="K29" s="22">
        <v>42004</v>
      </c>
      <c r="L29" s="22">
        <v>41639</v>
      </c>
      <c r="M29" s="22">
        <v>41274</v>
      </c>
      <c r="N29" s="6"/>
      <c r="O29" s="21" t="s">
        <v>5</v>
      </c>
      <c r="P29" s="22">
        <v>42369</v>
      </c>
      <c r="Q29" s="22">
        <v>42369</v>
      </c>
      <c r="R29" s="22">
        <v>42004</v>
      </c>
      <c r="S29" s="22">
        <v>41639</v>
      </c>
      <c r="T29" s="22">
        <v>41274</v>
      </c>
      <c r="U29" s="6"/>
      <c r="V29" s="6"/>
      <c r="W29" s="6"/>
      <c r="X29" s="6"/>
      <c r="Y29" s="6"/>
      <c r="Z29" s="6"/>
      <c r="AA29" s="6"/>
      <c r="AB29" s="6"/>
      <c r="AC29" s="6"/>
    </row>
    <row r="30" spans="1:29">
      <c r="A30" s="23" t="s">
        <v>6</v>
      </c>
      <c r="B30" s="24">
        <f t="shared" ref="B30:F41" si="0">B11/B$16</f>
        <v>0.11369615784164647</v>
      </c>
      <c r="C30" s="24">
        <f t="shared" si="0"/>
        <v>0.14651245383662537</v>
      </c>
      <c r="D30" s="24">
        <f t="shared" si="0"/>
        <v>0.12744199944697665</v>
      </c>
      <c r="E30" s="24">
        <f t="shared" si="0"/>
        <v>0.10292034011340927</v>
      </c>
      <c r="F30" s="24">
        <f t="shared" si="0"/>
        <v>0.11051813894795533</v>
      </c>
      <c r="G30" s="6"/>
      <c r="H30" s="25" t="s">
        <v>7</v>
      </c>
      <c r="I30" s="24">
        <f t="shared" ref="I30:M39" si="1">I11/I$11</f>
        <v>1</v>
      </c>
      <c r="J30" s="24">
        <f t="shared" si="1"/>
        <v>1</v>
      </c>
      <c r="K30" s="24">
        <f t="shared" si="1"/>
        <v>1</v>
      </c>
      <c r="L30" s="24">
        <f t="shared" si="1"/>
        <v>1</v>
      </c>
      <c r="M30" s="24">
        <f t="shared" si="1"/>
        <v>1</v>
      </c>
      <c r="N30" s="6"/>
      <c r="O30" s="25" t="s">
        <v>8</v>
      </c>
      <c r="P30" s="26">
        <f t="shared" ref="P30:P42" si="2">P11/I$11</f>
        <v>0.51743423883059758</v>
      </c>
      <c r="Q30" s="26">
        <f t="shared" ref="Q30:Q42" si="3">Q11/J$11</f>
        <v>0.4984048275894189</v>
      </c>
      <c r="R30" s="26">
        <f t="shared" ref="R30:R42" si="4">R11/K$11</f>
        <v>0.54875932721093246</v>
      </c>
      <c r="S30" s="26">
        <f t="shared" ref="S30:S42" si="5">S11/L$11</f>
        <v>0.53538842064596948</v>
      </c>
      <c r="T30" s="26">
        <f t="shared" ref="T30:T42" si="6">T11/M$11</f>
        <v>0.51848399348838436</v>
      </c>
      <c r="U30" s="6"/>
      <c r="V30" s="6"/>
      <c r="W30" s="6"/>
      <c r="X30" s="6"/>
      <c r="Y30" s="6"/>
      <c r="Z30" s="6"/>
      <c r="AA30" s="6"/>
      <c r="AB30" s="6"/>
      <c r="AC30" s="6"/>
    </row>
    <row r="31" spans="1:29">
      <c r="A31" s="23" t="s">
        <v>9</v>
      </c>
      <c r="B31" s="24">
        <f t="shared" si="0"/>
        <v>0.19230293318378225</v>
      </c>
      <c r="C31" s="24">
        <f t="shared" si="0"/>
        <v>0.16725802903188572</v>
      </c>
      <c r="D31" s="24">
        <f t="shared" si="0"/>
        <v>0.14672132975354782</v>
      </c>
      <c r="E31" s="24">
        <f t="shared" si="0"/>
        <v>0.12275609457559607</v>
      </c>
      <c r="F31" s="24">
        <f t="shared" si="0"/>
        <v>7.4475406181444409E-2</v>
      </c>
      <c r="G31" s="6"/>
      <c r="H31" s="25" t="s">
        <v>10</v>
      </c>
      <c r="I31" s="24">
        <f t="shared" si="1"/>
        <v>0.42130508357333146</v>
      </c>
      <c r="J31" s="24">
        <f t="shared" si="1"/>
        <v>0.41211647941179669</v>
      </c>
      <c r="K31" s="24">
        <f t="shared" si="1"/>
        <v>0.39293446021336698</v>
      </c>
      <c r="L31" s="24">
        <f t="shared" si="1"/>
        <v>0.41284303842030307</v>
      </c>
      <c r="M31" s="24">
        <f t="shared" si="1"/>
        <v>0.44214224349394382</v>
      </c>
      <c r="N31" s="6"/>
      <c r="O31" s="25" t="s">
        <v>11</v>
      </c>
      <c r="P31" s="26">
        <f t="shared" si="2"/>
        <v>0.12164009675284103</v>
      </c>
      <c r="Q31" s="26">
        <f t="shared" si="3"/>
        <v>0.11348416186562464</v>
      </c>
      <c r="R31" s="26">
        <f t="shared" si="4"/>
        <v>0.10137178594943068</v>
      </c>
      <c r="S31" s="26">
        <f t="shared" si="5"/>
        <v>9.1438355381517011E-2</v>
      </c>
      <c r="T31" s="26">
        <f t="shared" si="6"/>
        <v>9.1105889998715647E-2</v>
      </c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23" t="s">
        <v>12</v>
      </c>
      <c r="B32" s="24">
        <f t="shared" si="0"/>
        <v>1.4138036163261619E-2</v>
      </c>
      <c r="C32" s="24">
        <f t="shared" si="0"/>
        <v>1.8344603374387876E-2</v>
      </c>
      <c r="D32" s="24">
        <f t="shared" si="0"/>
        <v>1.9373210478900376E-2</v>
      </c>
      <c r="E32" s="24">
        <f t="shared" si="0"/>
        <v>2.0925691420178246E-2</v>
      </c>
      <c r="F32" s="24">
        <f t="shared" si="0"/>
        <v>2.2502274320692371E-2</v>
      </c>
      <c r="G32" s="6"/>
      <c r="H32" s="25" t="s">
        <v>13</v>
      </c>
      <c r="I32" s="24">
        <f t="shared" si="1"/>
        <v>0.57869491642666859</v>
      </c>
      <c r="J32" s="24">
        <f t="shared" si="1"/>
        <v>0.58788352058820337</v>
      </c>
      <c r="K32" s="24">
        <f t="shared" si="1"/>
        <v>0.60706553978663302</v>
      </c>
      <c r="L32" s="24">
        <f t="shared" si="1"/>
        <v>0.58715696157969688</v>
      </c>
      <c r="M32" s="24">
        <f t="shared" si="1"/>
        <v>0.55785775650605618</v>
      </c>
      <c r="N32" s="6"/>
      <c r="O32" s="25" t="s">
        <v>14</v>
      </c>
      <c r="P32" s="26">
        <f t="shared" si="2"/>
        <v>-1.1922015095557771E-2</v>
      </c>
      <c r="Q32" s="26">
        <f t="shared" si="3"/>
        <v>8.9267555823271971E-4</v>
      </c>
      <c r="R32" s="26">
        <f t="shared" si="4"/>
        <v>3.1277490174539298E-2</v>
      </c>
      <c r="S32" s="26">
        <f t="shared" si="5"/>
        <v>-3.852774367872059E-2</v>
      </c>
      <c r="T32" s="26">
        <f t="shared" si="6"/>
        <v>-1.2117377908340886E-2</v>
      </c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23" t="s">
        <v>15</v>
      </c>
      <c r="B33" s="24">
        <f t="shared" si="0"/>
        <v>0.67986287281130964</v>
      </c>
      <c r="C33" s="24">
        <f t="shared" si="0"/>
        <v>0.66788491375710102</v>
      </c>
      <c r="D33" s="24">
        <f t="shared" si="0"/>
        <v>0.70646346032057517</v>
      </c>
      <c r="E33" s="24">
        <f t="shared" si="0"/>
        <v>0.75339787389081636</v>
      </c>
      <c r="F33" s="24">
        <f t="shared" si="0"/>
        <v>0.7925041805499079</v>
      </c>
      <c r="G33" s="6"/>
      <c r="H33" s="25" t="s">
        <v>16</v>
      </c>
      <c r="I33" s="24">
        <f t="shared" si="1"/>
        <v>5.240872620194484E-3</v>
      </c>
      <c r="J33" s="24">
        <f t="shared" si="1"/>
        <v>6.6477160701782709E-3</v>
      </c>
      <c r="K33" s="24">
        <f t="shared" si="1"/>
        <v>1.3899131032650116E-3</v>
      </c>
      <c r="L33" s="24">
        <f t="shared" si="1"/>
        <v>-9.1850287232169998E-4</v>
      </c>
      <c r="M33" s="24">
        <f t="shared" si="1"/>
        <v>6.798438991271403E-3</v>
      </c>
      <c r="N33" s="6"/>
      <c r="O33" s="25" t="s">
        <v>9</v>
      </c>
      <c r="P33" s="26">
        <f t="shared" si="2"/>
        <v>-3.5168791641148417E-2</v>
      </c>
      <c r="Q33" s="26">
        <f t="shared" si="3"/>
        <v>-4.4714506831684861E-2</v>
      </c>
      <c r="R33" s="26">
        <f t="shared" si="4"/>
        <v>-5.9967292094634611E-2</v>
      </c>
      <c r="S33" s="26">
        <f t="shared" si="5"/>
        <v>-9.7766378405810025E-2</v>
      </c>
      <c r="T33" s="26">
        <f t="shared" si="6"/>
        <v>7.0867599719893426E-2</v>
      </c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23" t="s">
        <v>17</v>
      </c>
      <c r="B34" s="24" t="e">
        <f t="shared" si="0"/>
        <v>#VALUE!</v>
      </c>
      <c r="C34" s="24" t="e">
        <f t="shared" si="0"/>
        <v>#VALUE!</v>
      </c>
      <c r="D34" s="24" t="e">
        <f t="shared" si="0"/>
        <v>#VALUE!</v>
      </c>
      <c r="E34" s="24" t="e">
        <f t="shared" si="0"/>
        <v>#VALUE!</v>
      </c>
      <c r="F34" s="24">
        <f t="shared" si="0"/>
        <v>0</v>
      </c>
      <c r="G34" s="6"/>
      <c r="H34" s="25" t="s">
        <v>18</v>
      </c>
      <c r="I34" s="24">
        <f t="shared" si="1"/>
        <v>0.58393578904686305</v>
      </c>
      <c r="J34" s="24">
        <f t="shared" si="1"/>
        <v>0.59453123665838159</v>
      </c>
      <c r="K34" s="24">
        <f t="shared" si="1"/>
        <v>0.608455452889898</v>
      </c>
      <c r="L34" s="24">
        <f t="shared" si="1"/>
        <v>0.58623845870737523</v>
      </c>
      <c r="M34" s="24">
        <f t="shared" si="1"/>
        <v>0.5646561954973276</v>
      </c>
      <c r="N34" s="6"/>
      <c r="O34" s="25" t="s">
        <v>19</v>
      </c>
      <c r="P34" s="26" t="e">
        <f t="shared" si="2"/>
        <v>#VALUE!</v>
      </c>
      <c r="Q34" s="26" t="e">
        <f t="shared" si="3"/>
        <v>#VALUE!</v>
      </c>
      <c r="R34" s="26" t="e">
        <f t="shared" si="4"/>
        <v>#VALUE!</v>
      </c>
      <c r="S34" s="26" t="e">
        <f t="shared" si="5"/>
        <v>#VALUE!</v>
      </c>
      <c r="T34" s="26">
        <f t="shared" si="6"/>
        <v>0</v>
      </c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24">
        <f t="shared" si="0"/>
        <v>1</v>
      </c>
      <c r="G35" s="6"/>
      <c r="H35" s="25" t="s">
        <v>21</v>
      </c>
      <c r="I35" s="24">
        <f t="shared" si="1"/>
        <v>5.4139187093922354E-2</v>
      </c>
      <c r="J35" s="24">
        <f t="shared" si="1"/>
        <v>5.4986744414826594E-2</v>
      </c>
      <c r="K35" s="24">
        <f t="shared" si="1"/>
        <v>5.2165700955305948E-2</v>
      </c>
      <c r="L35" s="24">
        <f t="shared" si="1"/>
        <v>4.4753355232928949E-2</v>
      </c>
      <c r="M35" s="24">
        <f t="shared" si="1"/>
        <v>3.9553027597214727E-2</v>
      </c>
      <c r="N35" s="6"/>
      <c r="O35" s="25" t="s">
        <v>22</v>
      </c>
      <c r="P35" s="26">
        <f t="shared" si="2"/>
        <v>2.4409227850016226E-2</v>
      </c>
      <c r="Q35" s="26">
        <f t="shared" si="3"/>
        <v>2.5345258443805169E-2</v>
      </c>
      <c r="R35" s="26">
        <f t="shared" si="4"/>
        <v>1.9703277754919892E-2</v>
      </c>
      <c r="S35" s="26">
        <f t="shared" si="5"/>
        <v>1.1947852445188147E-2</v>
      </c>
      <c r="T35" s="26">
        <f t="shared" si="6"/>
        <v>2.8056041284405752E-3</v>
      </c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23" t="s">
        <v>23</v>
      </c>
      <c r="B36" s="24">
        <f t="shared" si="0"/>
        <v>0.20800156388792701</v>
      </c>
      <c r="C36" s="24">
        <f t="shared" si="0"/>
        <v>0.25843092935577433</v>
      </c>
      <c r="D36" s="24">
        <f t="shared" si="0"/>
        <v>0.23719795559757739</v>
      </c>
      <c r="E36" s="24">
        <f t="shared" si="0"/>
        <v>0.19251594925066834</v>
      </c>
      <c r="F36" s="24">
        <f t="shared" si="0"/>
        <v>0.17709607902958624</v>
      </c>
      <c r="G36" s="6"/>
      <c r="H36" s="25" t="s">
        <v>11</v>
      </c>
      <c r="I36" s="24" t="e">
        <f t="shared" si="1"/>
        <v>#VALUE!</v>
      </c>
      <c r="J36" s="24" t="e">
        <f t="shared" si="1"/>
        <v>#VALUE!</v>
      </c>
      <c r="K36" s="24" t="e">
        <f t="shared" si="1"/>
        <v>#VALUE!</v>
      </c>
      <c r="L36" s="24" t="e">
        <f t="shared" si="1"/>
        <v>#VALUE!</v>
      </c>
      <c r="M36" s="24">
        <f t="shared" si="1"/>
        <v>0</v>
      </c>
      <c r="N36" s="6"/>
      <c r="O36" s="25" t="s">
        <v>24</v>
      </c>
      <c r="P36" s="26">
        <f t="shared" si="2"/>
        <v>-9.8738062659893301E-3</v>
      </c>
      <c r="Q36" s="26">
        <f t="shared" si="3"/>
        <v>1.9497069177957072E-2</v>
      </c>
      <c r="R36" s="26">
        <f t="shared" si="4"/>
        <v>-1.3298514709419748E-2</v>
      </c>
      <c r="S36" s="26">
        <f t="shared" si="5"/>
        <v>-1.107003984446258E-2</v>
      </c>
      <c r="T36" s="26">
        <f t="shared" si="6"/>
        <v>-2.1273032662006391E-2</v>
      </c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23" t="s">
        <v>25</v>
      </c>
      <c r="B37" s="24">
        <f t="shared" si="0"/>
        <v>2.1472171828186868E-2</v>
      </c>
      <c r="C37" s="24">
        <f t="shared" si="0"/>
        <v>2.0231350262507285E-2</v>
      </c>
      <c r="D37" s="24">
        <f t="shared" si="0"/>
        <v>4.7143010052537217E-2</v>
      </c>
      <c r="E37" s="24">
        <f t="shared" si="0"/>
        <v>7.3436218440388071E-2</v>
      </c>
      <c r="F37" s="24">
        <f t="shared" si="0"/>
        <v>9.4139568287546133E-2</v>
      </c>
      <c r="G37" s="6"/>
      <c r="H37" s="25" t="s">
        <v>26</v>
      </c>
      <c r="I37" s="24">
        <f t="shared" si="1"/>
        <v>9.5251271132346799E-3</v>
      </c>
      <c r="J37" s="24">
        <f t="shared" si="1"/>
        <v>4.0473651063732893E-2</v>
      </c>
      <c r="K37" s="24">
        <f t="shared" si="1"/>
        <v>7.5304247236596894E-3</v>
      </c>
      <c r="L37" s="24">
        <f t="shared" si="1"/>
        <v>6.0966828284767897E-3</v>
      </c>
      <c r="M37" s="24">
        <f t="shared" si="1"/>
        <v>6.6191744117285326E-3</v>
      </c>
      <c r="N37" s="6"/>
      <c r="O37" s="25" t="s">
        <v>27</v>
      </c>
      <c r="P37" s="26">
        <f t="shared" si="2"/>
        <v>-5.2736034696950013E-2</v>
      </c>
      <c r="Q37" s="26">
        <f t="shared" si="3"/>
        <v>-6.5927583053757705E-2</v>
      </c>
      <c r="R37" s="26">
        <f t="shared" si="4"/>
        <v>-3.9613511298847617E-2</v>
      </c>
      <c r="S37" s="26">
        <f t="shared" si="5"/>
        <v>-2.5955364143641229E-2</v>
      </c>
      <c r="T37" s="26">
        <f t="shared" si="6"/>
        <v>-2.6785758858733612E-2</v>
      </c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23" t="s">
        <v>28</v>
      </c>
      <c r="B38" s="24" t="e">
        <f t="shared" si="0"/>
        <v>#VALUE!</v>
      </c>
      <c r="C38" s="24" t="e">
        <f t="shared" si="0"/>
        <v>#VALUE!</v>
      </c>
      <c r="D38" s="24" t="e">
        <f t="shared" si="0"/>
        <v>#VALUE!</v>
      </c>
      <c r="E38" s="24" t="e">
        <f t="shared" si="0"/>
        <v>#VALUE!</v>
      </c>
      <c r="F38" s="24">
        <f t="shared" si="0"/>
        <v>0</v>
      </c>
      <c r="G38" s="6"/>
      <c r="H38" s="25" t="s">
        <v>29</v>
      </c>
      <c r="I38" s="24">
        <f t="shared" si="1"/>
        <v>6.3664314207157027E-2</v>
      </c>
      <c r="J38" s="24">
        <f t="shared" si="1"/>
        <v>9.5460395478559487E-2</v>
      </c>
      <c r="K38" s="24">
        <f t="shared" si="1"/>
        <v>5.9696125678965636E-2</v>
      </c>
      <c r="L38" s="24">
        <f t="shared" si="1"/>
        <v>5.0850038061405735E-2</v>
      </c>
      <c r="M38" s="24">
        <f t="shared" si="1"/>
        <v>4.6172202008943258E-2</v>
      </c>
      <c r="N38" s="6"/>
      <c r="O38" s="25" t="s">
        <v>30</v>
      </c>
      <c r="P38" s="26">
        <f t="shared" si="2"/>
        <v>1.5784480290910889E-2</v>
      </c>
      <c r="Q38" s="26">
        <f t="shared" si="3"/>
        <v>3.2948784227638996E-3</v>
      </c>
      <c r="R38" s="26">
        <f t="shared" si="4"/>
        <v>1.1740666121040982E-3</v>
      </c>
      <c r="S38" s="26">
        <f t="shared" si="5"/>
        <v>1.714477735792123E-3</v>
      </c>
      <c r="T38" s="26">
        <f t="shared" si="6"/>
        <v>9.1674544475088351E-5</v>
      </c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23" t="s">
        <v>31</v>
      </c>
      <c r="B39" s="24">
        <f t="shared" si="0"/>
        <v>0.77052626428388615</v>
      </c>
      <c r="C39" s="24">
        <f t="shared" si="0"/>
        <v>0.72133772038171839</v>
      </c>
      <c r="D39" s="24">
        <f t="shared" si="0"/>
        <v>0.71565903434988543</v>
      </c>
      <c r="E39" s="24">
        <f t="shared" si="0"/>
        <v>0.73404783230894355</v>
      </c>
      <c r="F39" s="24">
        <f t="shared" si="0"/>
        <v>0.72876435268286766</v>
      </c>
      <c r="G39" s="6"/>
      <c r="H39" s="25" t="s">
        <v>32</v>
      </c>
      <c r="I39" s="24">
        <f t="shared" si="1"/>
        <v>0.52027147483970604</v>
      </c>
      <c r="J39" s="24">
        <f t="shared" si="1"/>
        <v>0.49907084117982214</v>
      </c>
      <c r="K39" s="24">
        <f t="shared" si="1"/>
        <v>0.54875932721093246</v>
      </c>
      <c r="L39" s="24">
        <f t="shared" si="1"/>
        <v>0.53538842064596948</v>
      </c>
      <c r="M39" s="24">
        <f t="shared" si="1"/>
        <v>0.51848399348838436</v>
      </c>
      <c r="N39" s="6"/>
      <c r="O39" s="25" t="s">
        <v>33</v>
      </c>
      <c r="P39" s="26">
        <f t="shared" si="2"/>
        <v>-0.17996343367981918</v>
      </c>
      <c r="Q39" s="26">
        <f t="shared" si="3"/>
        <v>-5.9511703882181313E-2</v>
      </c>
      <c r="R39" s="26">
        <f t="shared" si="4"/>
        <v>3.7044592304504576E-2</v>
      </c>
      <c r="S39" s="26">
        <f t="shared" si="5"/>
        <v>-2.7431643772673969E-2</v>
      </c>
      <c r="T39" s="26">
        <f t="shared" si="6"/>
        <v>-6.8075156788431943E-2</v>
      </c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23" t="s">
        <v>34</v>
      </c>
      <c r="B40" s="24" t="e">
        <f t="shared" si="0"/>
        <v>#VALUE!</v>
      </c>
      <c r="C40" s="24" t="e">
        <f t="shared" si="0"/>
        <v>#VALUE!</v>
      </c>
      <c r="D40" s="24" t="e">
        <f t="shared" si="0"/>
        <v>#VALUE!</v>
      </c>
      <c r="E40" s="24" t="e">
        <f t="shared" si="0"/>
        <v>#VALUE!</v>
      </c>
      <c r="F40" s="24">
        <f t="shared" si="0"/>
        <v>0</v>
      </c>
      <c r="G40" s="6"/>
      <c r="H40" s="25" t="s">
        <v>35</v>
      </c>
      <c r="I40" s="24">
        <f t="shared" ref="I40:M49" si="7">I21/I$11</f>
        <v>1.3228999532657458E-2</v>
      </c>
      <c r="J40" s="24">
        <f t="shared" si="7"/>
        <v>1.2527989906815022E-2</v>
      </c>
      <c r="K40" s="24">
        <f t="shared" si="7"/>
        <v>1.823927546704587E-2</v>
      </c>
      <c r="L40" s="24">
        <f t="shared" si="7"/>
        <v>2.1597390336289091E-2</v>
      </c>
      <c r="M40" s="24">
        <f t="shared" si="7"/>
        <v>1.845426733658672E-2</v>
      </c>
      <c r="N40" s="6"/>
      <c r="O40" s="25" t="s">
        <v>36</v>
      </c>
      <c r="P40" s="26">
        <f t="shared" si="2"/>
        <v>-0.50161995209598353</v>
      </c>
      <c r="Q40" s="26">
        <f t="shared" si="3"/>
        <v>-0.4469587708090435</v>
      </c>
      <c r="R40" s="26">
        <f t="shared" si="4"/>
        <v>-0.53508641515528843</v>
      </c>
      <c r="S40" s="26">
        <f t="shared" si="5"/>
        <v>-0.4915421384337903</v>
      </c>
      <c r="T40" s="26">
        <f t="shared" si="6"/>
        <v>-0.55738849175859462</v>
      </c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24">
        <f t="shared" si="0"/>
        <v>1</v>
      </c>
      <c r="G41" s="6"/>
      <c r="H41" s="25" t="s">
        <v>8</v>
      </c>
      <c r="I41" s="24">
        <f t="shared" si="7"/>
        <v>0.5070424753070486</v>
      </c>
      <c r="J41" s="24">
        <f t="shared" si="7"/>
        <v>0.48654285127300712</v>
      </c>
      <c r="K41" s="24">
        <f t="shared" si="7"/>
        <v>0.5305200517438865</v>
      </c>
      <c r="L41" s="24">
        <f t="shared" si="7"/>
        <v>0.51379103030968043</v>
      </c>
      <c r="M41" s="24">
        <f t="shared" si="7"/>
        <v>0.50002972615179764</v>
      </c>
      <c r="N41" s="6"/>
      <c r="O41" s="25" t="s">
        <v>38</v>
      </c>
      <c r="P41" s="26">
        <f t="shared" si="2"/>
        <v>0.21539373468553358</v>
      </c>
      <c r="Q41" s="26">
        <f t="shared" si="3"/>
        <v>0.15439354210039055</v>
      </c>
      <c r="R41" s="26">
        <f t="shared" si="4"/>
        <v>5.5998087511181294E-2</v>
      </c>
      <c r="S41" s="26">
        <f t="shared" si="5"/>
        <v>0.10363766456128801</v>
      </c>
      <c r="T41" s="26">
        <f t="shared" si="6"/>
        <v>0.1051611407036339</v>
      </c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27"/>
      <c r="B42" s="24"/>
      <c r="C42" s="24"/>
      <c r="D42" s="24"/>
      <c r="E42" s="24"/>
      <c r="F42" s="24"/>
      <c r="G42" s="6"/>
      <c r="H42" s="25" t="s">
        <v>39</v>
      </c>
      <c r="I42" s="24">
        <f t="shared" si="7"/>
        <v>0.52910486750473384</v>
      </c>
      <c r="J42" s="24">
        <f t="shared" si="7"/>
        <v>0.43693492990297522</v>
      </c>
      <c r="K42" s="24">
        <f t="shared" si="7"/>
        <v>0.41660150934486884</v>
      </c>
      <c r="L42" s="24">
        <f t="shared" si="7"/>
        <v>0.36248814152899411</v>
      </c>
      <c r="M42" s="24">
        <f t="shared" si="7"/>
        <v>0.46435879782903788</v>
      </c>
      <c r="N42" s="6"/>
      <c r="O42" s="25" t="s">
        <v>40</v>
      </c>
      <c r="P42" s="26">
        <f t="shared" si="2"/>
        <v>0.10337774493445114</v>
      </c>
      <c r="Q42" s="26">
        <f t="shared" si="3"/>
        <v>0.19819984858152559</v>
      </c>
      <c r="R42" s="26">
        <f t="shared" si="4"/>
        <v>0.14736289425942181</v>
      </c>
      <c r="S42" s="26">
        <f t="shared" si="5"/>
        <v>5.1833462490656096E-2</v>
      </c>
      <c r="T42" s="26">
        <f t="shared" si="6"/>
        <v>0.10287608460743553</v>
      </c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27"/>
      <c r="B43" s="24"/>
      <c r="C43" s="24"/>
      <c r="D43" s="24"/>
      <c r="E43" s="24"/>
      <c r="F43" s="24"/>
      <c r="G43" s="6"/>
      <c r="H43" s="25" t="s">
        <v>41</v>
      </c>
      <c r="I43" s="24">
        <f t="shared" si="7"/>
        <v>-1.1247714604988699E-2</v>
      </c>
      <c r="J43" s="24" t="e">
        <f t="shared" si="7"/>
        <v>#VALUE!</v>
      </c>
      <c r="K43" s="24" t="e">
        <f t="shared" si="7"/>
        <v>#VALUE!</v>
      </c>
      <c r="L43" s="24" t="e">
        <f t="shared" si="7"/>
        <v>#VALUE!</v>
      </c>
      <c r="M43" s="24">
        <f t="shared" si="7"/>
        <v>4.8072406552097692E-2</v>
      </c>
      <c r="N43" s="6"/>
      <c r="O43" s="2" t="s">
        <v>49</v>
      </c>
      <c r="P43" s="26">
        <f>P24/I11</f>
        <v>0.60651895043075932</v>
      </c>
      <c r="Q43" s="26">
        <f>Q24/J11</f>
        <v>0.61290948580335369</v>
      </c>
      <c r="R43" s="26">
        <f>R24/K11</f>
        <v>0.62784607428576789</v>
      </c>
      <c r="S43" s="26">
        <f>S24/L11</f>
        <v>0.49141046654368148</v>
      </c>
      <c r="T43" s="26">
        <f>T24/M11</f>
        <v>0.64987267676508675</v>
      </c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27"/>
      <c r="B44" s="24"/>
      <c r="C44" s="24"/>
      <c r="D44" s="24"/>
      <c r="E44" s="24"/>
      <c r="F44" s="24"/>
      <c r="G44" s="6"/>
      <c r="H44" s="25" t="s">
        <v>43</v>
      </c>
      <c r="I44" s="24">
        <f t="shared" si="7"/>
        <v>0.23662379600244976</v>
      </c>
      <c r="J44" s="24">
        <f t="shared" si="7"/>
        <v>0.23752932245148892</v>
      </c>
      <c r="K44" s="24">
        <f t="shared" si="7"/>
        <v>0.19001406212723879</v>
      </c>
      <c r="L44" s="24">
        <f t="shared" si="7"/>
        <v>0.24482742067111515</v>
      </c>
      <c r="M44" s="24">
        <f t="shared" si="7"/>
        <v>0.24302830973470205</v>
      </c>
      <c r="N44" s="6"/>
      <c r="O44" s="2" t="s">
        <v>50</v>
      </c>
      <c r="P44" s="26">
        <f>P24/B16</f>
        <v>0.25370247173333738</v>
      </c>
      <c r="Q44" s="26">
        <f>Q24/C16</f>
        <v>0.26240359944159736</v>
      </c>
      <c r="R44" s="26">
        <f>R24/D16</f>
        <v>0.2834532293887308</v>
      </c>
      <c r="S44" s="26">
        <f>S24/E16</f>
        <v>0.2459084466682453</v>
      </c>
      <c r="T44" s="26">
        <f>T24/F16</f>
        <v>0.33046537378477886</v>
      </c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27"/>
      <c r="B45" s="24"/>
      <c r="C45" s="24"/>
      <c r="D45" s="24"/>
      <c r="E45" s="24"/>
      <c r="F45" s="24"/>
      <c r="G45" s="6"/>
      <c r="H45" s="25" t="s">
        <v>45</v>
      </c>
      <c r="I45" s="24">
        <f t="shared" si="7"/>
        <v>0.49599609479348916</v>
      </c>
      <c r="J45" s="24">
        <f t="shared" si="7"/>
        <v>0.43660890926431634</v>
      </c>
      <c r="K45" s="24">
        <f t="shared" si="7"/>
        <v>0.53008341948259075</v>
      </c>
      <c r="L45" s="24">
        <f t="shared" si="7"/>
        <v>0.49066066828056171</v>
      </c>
      <c r="M45" s="24">
        <f t="shared" si="7"/>
        <v>0.55649171502650163</v>
      </c>
      <c r="N45" s="6"/>
      <c r="O45" s="2" t="s">
        <v>51</v>
      </c>
      <c r="P45" s="26">
        <f>P24/B20</f>
        <v>0.3292586943407102</v>
      </c>
      <c r="Q45" s="26">
        <f>Q24/C20</f>
        <v>0.3637735723881711</v>
      </c>
      <c r="R45" s="26">
        <f>R24/D20</f>
        <v>0.3960730121240259</v>
      </c>
      <c r="S45" s="26">
        <f>S24/E20</f>
        <v>0.3350033006633118</v>
      </c>
      <c r="T45" s="26">
        <f>T24/F20</f>
        <v>0.45345984963206026</v>
      </c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A46" s="27"/>
      <c r="B46" s="24"/>
      <c r="C46" s="24"/>
      <c r="D46" s="24"/>
      <c r="E46" s="24"/>
      <c r="F46" s="24"/>
      <c r="G46" s="6"/>
      <c r="H46" s="25" t="s">
        <v>47</v>
      </c>
      <c r="I46" s="24">
        <f t="shared" si="7"/>
        <v>0.31477516662083221</v>
      </c>
      <c r="J46" s="24">
        <f t="shared" si="7"/>
        <v>0.24933954946017708</v>
      </c>
      <c r="K46" s="24">
        <f t="shared" si="7"/>
        <v>0.22702407947892583</v>
      </c>
      <c r="L46" s="24">
        <f t="shared" si="7"/>
        <v>0.14079108288699763</v>
      </c>
      <c r="M46" s="24">
        <f t="shared" si="7"/>
        <v>0.1167960926675341</v>
      </c>
      <c r="N46" s="6"/>
      <c r="O46" s="2" t="s">
        <v>52</v>
      </c>
      <c r="P46" s="26">
        <f>P24/I22</f>
        <v>1.1961896290117924</v>
      </c>
      <c r="Q46" s="26">
        <f>Q24/J22</f>
        <v>1.2597235458289371</v>
      </c>
      <c r="R46" s="26">
        <f>R24/K22</f>
        <v>1.1834539942872253</v>
      </c>
      <c r="S46" s="26">
        <f>S24/L22</f>
        <v>0.9564403377137406</v>
      </c>
      <c r="T46" s="26">
        <f>T24/M22</f>
        <v>1.2996680852685949</v>
      </c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27"/>
      <c r="B47" s="24"/>
      <c r="C47" s="24"/>
      <c r="D47" s="24"/>
      <c r="E47" s="24"/>
      <c r="F47" s="24"/>
      <c r="G47" s="6"/>
      <c r="H47" s="6"/>
      <c r="I47" s="6"/>
      <c r="J47" s="6"/>
      <c r="K47" s="6"/>
      <c r="L47" s="6"/>
      <c r="M47" s="6"/>
      <c r="N47" s="6"/>
      <c r="O47" s="2" t="s">
        <v>53</v>
      </c>
      <c r="P47" s="26">
        <f>P24/(B22-B20)</f>
        <v>1.1055839176610489</v>
      </c>
      <c r="Q47" s="26">
        <f>Q24/(C22-C20)</f>
        <v>0.94165453537896926</v>
      </c>
      <c r="R47" s="26">
        <f>R24/(D22-D20)</f>
        <v>0.99687791641505441</v>
      </c>
      <c r="S47" s="26">
        <f>S24/(E22-E20)</f>
        <v>0.9246341129804404</v>
      </c>
      <c r="T47" s="26">
        <f>T24/(F22-F20)</f>
        <v>1.2183699932273073</v>
      </c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2" t="s">
        <v>54</v>
      </c>
      <c r="P48" s="26">
        <f>P24/I25</f>
        <v>2.5632204396910279</v>
      </c>
      <c r="Q48" s="26">
        <f>Q24/J25</f>
        <v>2.5803529411764705</v>
      </c>
      <c r="R48" s="26">
        <f>R24/K25</f>
        <v>3.3042084741356903</v>
      </c>
      <c r="S48" s="26">
        <f>S24/L25</f>
        <v>2.0071708683473388</v>
      </c>
      <c r="T48" s="26">
        <f>T24/M25</f>
        <v>2.6740616246498599</v>
      </c>
      <c r="U48" s="6"/>
      <c r="V48" s="6"/>
      <c r="W48" s="6"/>
      <c r="X48" s="6"/>
      <c r="Y48" s="6"/>
      <c r="Z48" s="6"/>
      <c r="AA48" s="6"/>
      <c r="AB48" s="6"/>
      <c r="AC48" s="6"/>
    </row>
    <row r="49" spans="1:2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2" t="s">
        <v>55</v>
      </c>
      <c r="P49" s="26">
        <f>P24/(P18*-1)</f>
        <v>11.501034423921853</v>
      </c>
      <c r="Q49" s="26">
        <f>Q24/(Q18*-1)</f>
        <v>9.2967079545989737</v>
      </c>
      <c r="R49" s="26">
        <f>R24/(R18*-1)</f>
        <v>15.849291155970624</v>
      </c>
      <c r="S49" s="26">
        <f>S24/(S18*-1)</f>
        <v>18.932905885046942</v>
      </c>
      <c r="T49" s="26">
        <f>T24/(T18*-1)</f>
        <v>24.261872892699209</v>
      </c>
      <c r="U49" s="6"/>
      <c r="V49" s="6"/>
      <c r="W49" s="6"/>
      <c r="X49" s="6"/>
      <c r="Y49" s="6"/>
      <c r="Z49" s="6"/>
      <c r="AA49" s="6"/>
      <c r="AB49" s="6"/>
      <c r="AC49" s="6"/>
    </row>
    <row r="50" spans="1:29">
      <c r="H50" s="2" t="s">
        <v>56</v>
      </c>
      <c r="I50" s="28">
        <f>LN(I13/J13)</f>
        <v>-9.8945229456707792E-2</v>
      </c>
      <c r="J50" s="28">
        <f>LN(J13/K13)</f>
        <v>-7.8714522369853948E-2</v>
      </c>
      <c r="K50" s="28">
        <f>LN(K13/L13)</f>
        <v>-4.3937025618193924E-2</v>
      </c>
      <c r="L50" s="28">
        <f>LN(L13/M13)</f>
        <v>4.3812547682967606E-2</v>
      </c>
      <c r="O50" s="2"/>
      <c r="P50" s="12"/>
      <c r="Q50" s="12"/>
      <c r="R50" s="12"/>
    </row>
    <row r="51" spans="1:29">
      <c r="A51" s="29" t="s">
        <v>57</v>
      </c>
      <c r="B51" s="30">
        <f>B11/B17</f>
        <v>0.54661203366195321</v>
      </c>
      <c r="C51" s="30">
        <f>C11/C17</f>
        <v>0.56693080120810901</v>
      </c>
      <c r="D51" s="30">
        <f>D11/D17</f>
        <v>0.53728118830497318</v>
      </c>
      <c r="E51" s="30">
        <f>E11/E17</f>
        <v>0.53460682355933153</v>
      </c>
      <c r="F51" s="30">
        <f>F11/F17</f>
        <v>0.62405751473182991</v>
      </c>
      <c r="H51" s="29" t="s">
        <v>58</v>
      </c>
      <c r="I51" s="31">
        <f>I13/I11</f>
        <v>0.57869491642666859</v>
      </c>
      <c r="J51" s="31">
        <f>J13/J11</f>
        <v>0.58788352058820337</v>
      </c>
      <c r="K51" s="31">
        <f>K13/K11</f>
        <v>0.60706553978663302</v>
      </c>
      <c r="L51" s="31">
        <f>L13/L11</f>
        <v>0.58715696157969688</v>
      </c>
      <c r="M51" s="31">
        <f>M13/M11</f>
        <v>0.55785775650605618</v>
      </c>
      <c r="O51" s="2" t="s">
        <v>59</v>
      </c>
      <c r="P51" s="32">
        <f>(P11-P24-P25)/B16</f>
        <v>-2.180692100389937E-2</v>
      </c>
      <c r="Q51" s="32">
        <f>(Q11-Q24-Q25)/C16</f>
        <v>-2.2207826188870985E-2</v>
      </c>
      <c r="R51" s="32">
        <f>(R11-R24-R25)/D16</f>
        <v>-1.835100926760086E-2</v>
      </c>
      <c r="S51" s="32">
        <f>(S11-S24-S25)/E16</f>
        <v>3.4137630851347377E-2</v>
      </c>
      <c r="T51" s="32">
        <f>(T11-T24-T25)/F16</f>
        <v>-5.3238028026646594E-2</v>
      </c>
    </row>
    <row r="52" spans="1:29">
      <c r="A52" s="29" t="s">
        <v>60</v>
      </c>
      <c r="B52" s="31">
        <f>I20/B16</f>
        <v>0.2176257791210611</v>
      </c>
      <c r="C52" s="31">
        <f>J20/C16</f>
        <v>0.21366610916501258</v>
      </c>
      <c r="D52" s="31">
        <f>K20/D16</f>
        <v>0.24774799083051618</v>
      </c>
      <c r="E52" s="31">
        <f>L20/E16</f>
        <v>0.26791560996088903</v>
      </c>
      <c r="F52" s="31">
        <f>M20/F16</f>
        <v>0.26365319367242673</v>
      </c>
      <c r="G52" s="31"/>
      <c r="H52" s="29" t="s">
        <v>61</v>
      </c>
      <c r="I52" s="31">
        <f>I16/I11</f>
        <v>5.4139187093922354E-2</v>
      </c>
      <c r="J52" s="31">
        <f>J16/J11</f>
        <v>5.4986744414826594E-2</v>
      </c>
      <c r="K52" s="31">
        <f>K16/K11</f>
        <v>5.2165700955305948E-2</v>
      </c>
      <c r="L52" s="31">
        <f>L16/L11</f>
        <v>4.4753355232928949E-2</v>
      </c>
      <c r="M52" s="31">
        <f>M16/M11</f>
        <v>3.9553027597214727E-2</v>
      </c>
    </row>
    <row r="53" spans="1:29">
      <c r="A53" s="29" t="s">
        <v>62</v>
      </c>
      <c r="B53" s="31">
        <f>I20/B20</f>
        <v>0.28243784697374175</v>
      </c>
      <c r="C53" s="31">
        <f>J20/C20</f>
        <v>0.29620814651415217</v>
      </c>
      <c r="D53" s="31">
        <f>K20/D20</f>
        <v>0.34618160176734708</v>
      </c>
      <c r="E53" s="31">
        <f>L20/E20</f>
        <v>0.36498385822918633</v>
      </c>
      <c r="F53" s="31">
        <f>M20/F20</f>
        <v>0.36178113364329068</v>
      </c>
      <c r="H53" s="29" t="s">
        <v>11</v>
      </c>
      <c r="I53" s="31" t="e">
        <f>I17/I11</f>
        <v>#VALUE!</v>
      </c>
      <c r="J53" s="31" t="e">
        <f>J17/J11</f>
        <v>#VALUE!</v>
      </c>
      <c r="K53" s="31" t="e">
        <f>K17/K11</f>
        <v>#VALUE!</v>
      </c>
      <c r="L53" s="31" t="e">
        <f>L17/L11</f>
        <v>#VALUE!</v>
      </c>
      <c r="M53" s="31">
        <f>M17/M11</f>
        <v>0</v>
      </c>
    </row>
    <row r="54" spans="1:29">
      <c r="A54" s="29" t="s">
        <v>63</v>
      </c>
      <c r="B54" s="30">
        <f>I11/B12</f>
        <v>2.175176061722218</v>
      </c>
      <c r="C54" s="30">
        <f>J11/C12</f>
        <v>2.559684687668061</v>
      </c>
      <c r="D54" s="30">
        <f>K11/D12</f>
        <v>3.0770529649843534</v>
      </c>
      <c r="E54" s="30">
        <f>L11/E12</f>
        <v>4.0764862436958813</v>
      </c>
      <c r="F54" s="30">
        <f>M11/F12</f>
        <v>6.8278630614104125</v>
      </c>
      <c r="H54" s="29" t="s">
        <v>64</v>
      </c>
      <c r="I54" s="31">
        <f>I25/I22</f>
        <v>0.46667450465398985</v>
      </c>
      <c r="J54" s="31">
        <f>J25/J22</f>
        <v>0.48819815527041283</v>
      </c>
      <c r="K54" s="31">
        <f>K25/K22</f>
        <v>0.3581656555725623</v>
      </c>
      <c r="L54" s="31">
        <f>L25/L22</f>
        <v>0.47651166763956321</v>
      </c>
      <c r="M54" s="31">
        <f>M25/M22</f>
        <v>0.48602772400160105</v>
      </c>
    </row>
    <row r="55" spans="1:29">
      <c r="A55" s="29" t="s">
        <v>65</v>
      </c>
      <c r="B55" s="31">
        <f>(B22-B20)/B16</f>
        <v>0.22947373571611387</v>
      </c>
      <c r="C55" s="31">
        <f>(C22-C20)/C16</f>
        <v>0.27866227961828161</v>
      </c>
      <c r="D55" s="31">
        <f>(D22-D20)/D16</f>
        <v>0.28434096565011463</v>
      </c>
      <c r="E55" s="31">
        <f>(E22-E20)/E16</f>
        <v>0.2659521676910564</v>
      </c>
      <c r="F55" s="31">
        <f>(F22-F20)/F16</f>
        <v>0.2712356473171324</v>
      </c>
      <c r="H55" s="29" t="s">
        <v>66</v>
      </c>
      <c r="I55" s="31">
        <f>I22/I11</f>
        <v>0.5070424753070486</v>
      </c>
      <c r="J55" s="31">
        <f>J22/J11</f>
        <v>0.48654285127300712</v>
      </c>
      <c r="K55" s="31">
        <f>K22/K11</f>
        <v>0.5305200517438865</v>
      </c>
      <c r="L55" s="31">
        <f>L22/L11</f>
        <v>0.51379103030968043</v>
      </c>
      <c r="M55" s="31">
        <f>M22/M11</f>
        <v>0.50002972615179764</v>
      </c>
      <c r="N55" s="31"/>
    </row>
    <row r="56" spans="1:29">
      <c r="A56" s="29" t="s">
        <v>67</v>
      </c>
      <c r="B56" s="31">
        <f>(B22-B20)/B20</f>
        <v>0.29781429440225871</v>
      </c>
      <c r="C56" s="31">
        <f>(C22-C20)/C20</f>
        <v>0.38631319525453173</v>
      </c>
      <c r="D56" s="31">
        <f>(D22-D20)/D20</f>
        <v>0.39731345794916695</v>
      </c>
      <c r="E56" s="31">
        <f>(E22-E20)/E20</f>
        <v>0.36230904306944856</v>
      </c>
      <c r="F56" s="31">
        <f>(F22-F20)/F20</f>
        <v>0.37218566786178209</v>
      </c>
      <c r="H56" s="33" t="s">
        <v>68</v>
      </c>
      <c r="I56" s="50">
        <f>I13/B16</f>
        <v>0.24206388039927132</v>
      </c>
      <c r="J56" s="50">
        <f>J13/C16</f>
        <v>0.25168928761568676</v>
      </c>
      <c r="K56" s="50">
        <f>K13/D16</f>
        <v>0.27407145596774624</v>
      </c>
      <c r="L56" s="50">
        <f>L13/E16</f>
        <v>0.29382128831738125</v>
      </c>
      <c r="M56" s="50">
        <f>M13/F16</f>
        <v>0.28367506222938355</v>
      </c>
    </row>
    <row r="57" spans="1:29">
      <c r="A57" s="29" t="s">
        <v>69</v>
      </c>
      <c r="B57" s="30">
        <f>I11/B16</f>
        <v>0.41829273686033031</v>
      </c>
      <c r="C57" s="30">
        <f>J11/C16</f>
        <v>0.42812781580245785</v>
      </c>
      <c r="D57" s="30">
        <f>K11/D16</f>
        <v>0.45146930274460134</v>
      </c>
      <c r="E57" s="30">
        <f>L11/E16</f>
        <v>0.50041353086724805</v>
      </c>
      <c r="F57" s="30">
        <f>M11/F16</f>
        <v>0.50850787484982096</v>
      </c>
      <c r="H57" s="33" t="s">
        <v>70</v>
      </c>
      <c r="I57" s="51">
        <f ca="1">I25/$C$5</f>
        <v>6.7971689612764771E-2</v>
      </c>
      <c r="J57" s="51">
        <f ca="1">J25/$C$5</f>
        <v>7.4150934123016113E-2</v>
      </c>
      <c r="K57" s="51">
        <f ca="1">K25/$C$5</f>
        <v>6.2147852629900434E-2</v>
      </c>
      <c r="L57" s="51">
        <f ca="1">L25/$C$5</f>
        <v>8.6509423143518796E-2</v>
      </c>
      <c r="M57" s="51">
        <f ca="1">M25/$C$5</f>
        <v>8.6509423143518796E-2</v>
      </c>
    </row>
    <row r="58" spans="1:29">
      <c r="A58" s="29" t="s">
        <v>71</v>
      </c>
      <c r="B58" s="30">
        <f>B16/B20</f>
        <v>1.2978142944022588</v>
      </c>
      <c r="C58" s="30">
        <f>C16/C20</f>
        <v>1.3863131952545318</v>
      </c>
      <c r="D58" s="30">
        <f>D16/D20</f>
        <v>1.3973134579491671</v>
      </c>
      <c r="E58" s="30">
        <f>E16/E20</f>
        <v>1.3623090430694487</v>
      </c>
      <c r="F58" s="30">
        <f>F16/F20</f>
        <v>1.3721856678617821</v>
      </c>
      <c r="H58" s="25" t="s">
        <v>72</v>
      </c>
      <c r="I58" s="39">
        <f ca="1">I22/$C$7/1000</f>
        <v>5.8988725633975765</v>
      </c>
      <c r="J58" s="39">
        <f ca="1">J22/$C$7/1000</f>
        <v>6.1514219215852561</v>
      </c>
      <c r="K58" s="39">
        <f ca="1">K22/$C$7/1000</f>
        <v>7.027441058022168</v>
      </c>
      <c r="L58" s="39">
        <f ca="1">L22/$C$7/1000</f>
        <v>7.3526670553484168</v>
      </c>
      <c r="M58" s="39">
        <f ca="1">M22/$C$7/1000</f>
        <v>7.2087073784519529</v>
      </c>
    </row>
    <row r="59" spans="1:29">
      <c r="H59" s="25" t="s">
        <v>73</v>
      </c>
      <c r="I59" s="39">
        <f ca="1">B20/$C$7/1000</f>
        <v>21.430474895514244</v>
      </c>
      <c r="J59" s="39">
        <f ca="1">C20/$C$7/1000</f>
        <v>21.301962602935944</v>
      </c>
      <c r="K59" s="39">
        <f ca="1">D20/$C$7/1000</f>
        <v>20.997778023639015</v>
      </c>
      <c r="L59" s="39">
        <f ca="1">E20/$C$7/1000</f>
        <v>20.991994250772745</v>
      </c>
      <c r="M59" s="39">
        <f ca="1">F20/$C$7/1000</f>
        <v>20.660984480580233</v>
      </c>
    </row>
    <row r="60" spans="1:29">
      <c r="H60" s="33" t="s">
        <v>74</v>
      </c>
      <c r="I60" s="52">
        <f ca="1">SQRT(22.5*I58*I59)</f>
        <v>53.332465802632022</v>
      </c>
      <c r="J60" s="52">
        <f ca="1">SQRT(22.5*J58*J59)</f>
        <v>54.298624235711657</v>
      </c>
      <c r="K60" s="52">
        <f ca="1">SQRT(22.5*K58*K59)</f>
        <v>57.620435322353465</v>
      </c>
      <c r="L60" s="52">
        <f ca="1">SQRT(22.5*L58*L59)</f>
        <v>58.930558731940621</v>
      </c>
      <c r="M60" s="52">
        <f ca="1">SQRT(22.5*M58*M59)</f>
        <v>57.88892211470948</v>
      </c>
    </row>
    <row r="61" spans="1:29">
      <c r="H61" s="33" t="s">
        <v>75</v>
      </c>
      <c r="I61" s="39">
        <f ca="1">I58-(B20*0.08/1000/$C$7)</f>
        <v>4.1844345717564364</v>
      </c>
      <c r="J61" s="39">
        <f ca="1">J58-(C20*0.08/1000/$C$7)</f>
        <v>4.4472649133503808</v>
      </c>
      <c r="K61" s="39">
        <f ca="1">K58-(D20*0.08/1000/$C$7)</f>
        <v>5.3476188161310469</v>
      </c>
      <c r="L61" s="39">
        <f ca="1">L58-(E20*0.08/1000/$C$7)</f>
        <v>5.6733075152865968</v>
      </c>
      <c r="M61" s="39">
        <f ca="1">M58-(F20*0.08/1000/$C$7)</f>
        <v>5.5558286200055349</v>
      </c>
    </row>
    <row r="62" spans="1:29">
      <c r="H62" s="2" t="s">
        <v>76</v>
      </c>
      <c r="I62" s="53">
        <f ca="1">I25/$C$7/1000</f>
        <v>2.7528534315405753</v>
      </c>
      <c r="J62" s="53">
        <f ca="1">J25/$C$7/1000</f>
        <v>3.0031128344079003</v>
      </c>
      <c r="K62" s="53">
        <f ca="1">K25/$C$7/1000</f>
        <v>2.5169880335440507</v>
      </c>
      <c r="L62" s="53">
        <f ca="1">L25/$C$7/1000</f>
        <v>3.5036316401425505</v>
      </c>
      <c r="M62" s="53">
        <f ca="1">M25/$C$7/1000</f>
        <v>3.5036316401425505</v>
      </c>
    </row>
    <row r="63" spans="1:29">
      <c r="A63" s="2"/>
      <c r="H63" s="25" t="s">
        <v>91</v>
      </c>
      <c r="I63" s="2"/>
      <c r="J63" s="2">
        <v>10.55</v>
      </c>
      <c r="K63" s="54">
        <v>13.63</v>
      </c>
      <c r="L63" s="54">
        <v>13.81</v>
      </c>
      <c r="M63" s="54">
        <v>13.19</v>
      </c>
    </row>
    <row r="74" spans="8:13">
      <c r="H74" s="2" t="s">
        <v>86</v>
      </c>
      <c r="I74" s="6"/>
      <c r="J74" s="6">
        <f ca="1">J59*$C$7/$C$5</f>
        <v>5.2597438483282469E-4</v>
      </c>
      <c r="K74" s="6">
        <f ca="1">K59*$C$7/$C$5</f>
        <v>5.184636544858809E-4</v>
      </c>
      <c r="L74" s="6">
        <f ca="1">L59*$C$7/$C$5</f>
        <v>5.1832084527942172E-4</v>
      </c>
      <c r="M74" s="6">
        <f ca="1">M59*$C$7/$C$5</f>
        <v>5.1014776454052927E-4</v>
      </c>
    </row>
    <row r="75" spans="8:13">
      <c r="H75" s="2" t="s">
        <v>87</v>
      </c>
    </row>
    <row r="76" spans="8:13">
      <c r="H76" s="2" t="s">
        <v>88</v>
      </c>
    </row>
    <row r="77" spans="8:13">
      <c r="H77" s="2" t="s">
        <v>89</v>
      </c>
      <c r="I77" s="28"/>
      <c r="J77" s="28" t="e">
        <f ca="1">(J15-J16)/$C$6</f>
        <v>#VALUE!</v>
      </c>
      <c r="K77" s="28" t="e">
        <f ca="1">(K15-K16)/$C$6</f>
        <v>#VALUE!</v>
      </c>
      <c r="L77" s="28" t="e">
        <f ca="1">(L15-L16)/$C$6</f>
        <v>#VALUE!</v>
      </c>
      <c r="M77" s="28" t="e">
        <f ca="1">(M15-M16)/$C$6</f>
        <v>#VALUE!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12" width="15.140625"/>
    <col min="13" max="13" width="30.5703125"/>
    <col min="14" max="26" width="15.140625"/>
    <col min="27" max="1025" width="14.42578125"/>
  </cols>
  <sheetData>
    <row r="1" spans="1:17">
      <c r="A1" s="2"/>
      <c r="M1" s="6"/>
    </row>
    <row r="2" spans="1:17">
      <c r="A2" s="2"/>
      <c r="M2" s="6"/>
    </row>
    <row r="3" spans="1:17">
      <c r="A3" s="2"/>
      <c r="M3" s="6"/>
    </row>
    <row r="4" spans="1:17">
      <c r="A4" s="2"/>
      <c r="M4" s="6"/>
    </row>
    <row r="5" spans="1:17">
      <c r="A5" s="2"/>
      <c r="B5" s="55">
        <v>2459.6</v>
      </c>
      <c r="M5" s="6"/>
    </row>
    <row r="6" spans="1:17">
      <c r="A6" s="2"/>
      <c r="B6" s="4">
        <f>B5*1000+(B22-B20)-N23</f>
        <v>2422153</v>
      </c>
      <c r="M6" s="6"/>
    </row>
    <row r="7" spans="1:17">
      <c r="A7" s="2"/>
      <c r="B7" s="2">
        <v>189.2</v>
      </c>
      <c r="M7" s="6"/>
    </row>
    <row r="8" spans="1:17">
      <c r="M8" s="6"/>
    </row>
    <row r="9" spans="1:17"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284389</v>
      </c>
      <c r="C11" s="56">
        <v>295189</v>
      </c>
      <c r="D11" s="56">
        <v>619164</v>
      </c>
      <c r="E11" s="56">
        <v>1104908</v>
      </c>
      <c r="G11" s="25" t="s">
        <v>7</v>
      </c>
      <c r="H11" s="56">
        <v>560522</v>
      </c>
      <c r="I11" s="56">
        <v>454849</v>
      </c>
      <c r="J11" s="56">
        <v>433426</v>
      </c>
      <c r="K11" s="56">
        <v>428562</v>
      </c>
      <c r="M11" s="25" t="s">
        <v>8</v>
      </c>
      <c r="N11" s="56">
        <v>241865</v>
      </c>
      <c r="O11" s="56">
        <v>221752</v>
      </c>
      <c r="P11" s="56">
        <v>218424</v>
      </c>
      <c r="Q11" s="56">
        <v>242902</v>
      </c>
    </row>
    <row r="12" spans="1:17">
      <c r="A12" s="25" t="s">
        <v>9</v>
      </c>
      <c r="B12" s="56">
        <v>177771</v>
      </c>
      <c r="C12" s="56">
        <v>134808</v>
      </c>
      <c r="D12" s="56">
        <v>117808</v>
      </c>
      <c r="E12" s="56">
        <v>119358</v>
      </c>
      <c r="G12" s="25" t="s">
        <v>10</v>
      </c>
      <c r="H12" s="56">
        <v>191727</v>
      </c>
      <c r="I12" s="56">
        <v>147869</v>
      </c>
      <c r="J12" s="56">
        <v>129906</v>
      </c>
      <c r="K12" s="56">
        <v>100272</v>
      </c>
      <c r="M12" s="25" t="s">
        <v>11</v>
      </c>
      <c r="N12" s="56">
        <v>90523</v>
      </c>
      <c r="O12" s="56">
        <v>52513</v>
      </c>
      <c r="P12" s="56">
        <v>53814</v>
      </c>
      <c r="Q12" s="56">
        <v>50354</v>
      </c>
    </row>
    <row r="13" spans="1:17">
      <c r="A13" s="25" t="s">
        <v>12</v>
      </c>
      <c r="B13" s="57"/>
      <c r="C13" s="57"/>
      <c r="D13" s="57"/>
      <c r="E13" s="56">
        <v>100</v>
      </c>
      <c r="G13" s="25" t="s">
        <v>13</v>
      </c>
      <c r="H13" s="56">
        <v>368795</v>
      </c>
      <c r="I13" s="56">
        <v>306980</v>
      </c>
      <c r="J13" s="56">
        <v>303520</v>
      </c>
      <c r="K13" s="56">
        <v>328290</v>
      </c>
      <c r="M13" s="25" t="s">
        <v>14</v>
      </c>
      <c r="N13" s="58">
        <v>-19764</v>
      </c>
      <c r="O13" s="58">
        <v>-5044</v>
      </c>
      <c r="P13" s="56">
        <v>879</v>
      </c>
      <c r="Q13" s="56">
        <v>25891</v>
      </c>
    </row>
    <row r="14" spans="1:17">
      <c r="A14" s="25" t="s">
        <v>15</v>
      </c>
      <c r="B14" s="56">
        <v>1741714</v>
      </c>
      <c r="C14" s="56">
        <v>1681538</v>
      </c>
      <c r="D14" s="56">
        <v>1369214</v>
      </c>
      <c r="E14" s="56">
        <v>808787</v>
      </c>
      <c r="G14" s="25" t="s">
        <v>16</v>
      </c>
      <c r="H14" s="57"/>
      <c r="I14" s="57"/>
      <c r="J14" s="56">
        <v>228</v>
      </c>
      <c r="K14" s="56">
        <v>705</v>
      </c>
      <c r="M14" s="25" t="s">
        <v>9</v>
      </c>
      <c r="N14" s="58">
        <v>-42963</v>
      </c>
      <c r="O14" s="58">
        <v>-17000</v>
      </c>
      <c r="P14" s="56">
        <v>1550</v>
      </c>
      <c r="Q14" s="58">
        <v>-19635</v>
      </c>
    </row>
    <row r="15" spans="1:17">
      <c r="A15" s="25" t="s">
        <v>17</v>
      </c>
      <c r="B15" s="56">
        <v>4680</v>
      </c>
      <c r="C15" s="56">
        <v>4289</v>
      </c>
      <c r="D15" s="56">
        <v>8806</v>
      </c>
      <c r="E15" s="56">
        <v>1334</v>
      </c>
      <c r="G15" s="25" t="s">
        <v>18</v>
      </c>
      <c r="H15" s="56">
        <v>368795</v>
      </c>
      <c r="I15" s="56">
        <v>306980</v>
      </c>
      <c r="J15" s="56">
        <v>303748</v>
      </c>
      <c r="K15" s="56">
        <v>328995</v>
      </c>
      <c r="M15" s="25" t="s">
        <v>19</v>
      </c>
      <c r="N15" s="56">
        <v>20</v>
      </c>
      <c r="O15" s="56">
        <v>328</v>
      </c>
      <c r="P15" s="58">
        <v>-12871</v>
      </c>
      <c r="Q15" s="58">
        <v>-121039</v>
      </c>
    </row>
    <row r="16" spans="1:17">
      <c r="A16" s="25" t="s">
        <v>20</v>
      </c>
      <c r="B16" s="56">
        <v>2208554</v>
      </c>
      <c r="C16" s="56">
        <v>2115824</v>
      </c>
      <c r="D16" s="56">
        <v>2114992</v>
      </c>
      <c r="E16" s="56">
        <v>2034487</v>
      </c>
      <c r="G16" s="25" t="s">
        <v>21</v>
      </c>
      <c r="H16" s="56">
        <v>23949</v>
      </c>
      <c r="I16" s="56">
        <v>21525</v>
      </c>
      <c r="J16" s="56">
        <v>16296</v>
      </c>
      <c r="K16" s="56">
        <v>14281</v>
      </c>
      <c r="M16" s="25" t="s">
        <v>22</v>
      </c>
      <c r="N16" s="56">
        <v>23919</v>
      </c>
      <c r="O16" s="56">
        <v>20870</v>
      </c>
      <c r="P16" s="56">
        <v>41394</v>
      </c>
      <c r="Q16" s="56">
        <v>6839</v>
      </c>
    </row>
    <row r="17" spans="1:26">
      <c r="A17" s="25" t="s">
        <v>23</v>
      </c>
      <c r="B17" s="56">
        <v>163296</v>
      </c>
      <c r="C17" s="56">
        <v>123201</v>
      </c>
      <c r="D17" s="56">
        <v>107624</v>
      </c>
      <c r="E17" s="56">
        <v>55933</v>
      </c>
      <c r="G17" s="25" t="s">
        <v>11</v>
      </c>
      <c r="H17" s="56">
        <v>90523</v>
      </c>
      <c r="I17" s="56">
        <v>52513</v>
      </c>
      <c r="J17" s="56">
        <v>49528</v>
      </c>
      <c r="K17" s="56">
        <v>47704</v>
      </c>
      <c r="M17" s="25" t="s">
        <v>24</v>
      </c>
      <c r="N17" s="56">
        <v>19756</v>
      </c>
      <c r="O17" s="58">
        <v>-773</v>
      </c>
      <c r="P17" s="56">
        <v>9887</v>
      </c>
      <c r="Q17" s="56">
        <v>16027</v>
      </c>
    </row>
    <row r="18" spans="1:26">
      <c r="A18" s="25" t="s">
        <v>25</v>
      </c>
      <c r="B18" s="56">
        <v>6942</v>
      </c>
      <c r="C18" s="56">
        <v>5772</v>
      </c>
      <c r="D18" s="56">
        <v>4569</v>
      </c>
      <c r="E18" s="56">
        <v>3779</v>
      </c>
      <c r="G18" s="25" t="s">
        <v>26</v>
      </c>
      <c r="H18" s="56">
        <v>153</v>
      </c>
      <c r="I18" s="56">
        <v>104</v>
      </c>
      <c r="J18" s="57"/>
      <c r="K18" s="56">
        <v>14315</v>
      </c>
      <c r="M18" s="25" t="s">
        <v>27</v>
      </c>
      <c r="N18" s="58">
        <v>-150699</v>
      </c>
      <c r="O18" s="58">
        <v>-364943</v>
      </c>
      <c r="P18" s="58">
        <v>-484763</v>
      </c>
      <c r="Q18" s="58">
        <v>-62603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114625</v>
      </c>
      <c r="I19" s="56">
        <v>74142</v>
      </c>
      <c r="J19" s="56">
        <v>65824</v>
      </c>
      <c r="K19" s="56">
        <v>76300</v>
      </c>
      <c r="M19" s="25" t="s">
        <v>30</v>
      </c>
      <c r="N19" s="58">
        <v>-4001</v>
      </c>
      <c r="O19" s="56">
        <v>106</v>
      </c>
      <c r="P19" s="58">
        <v>-11321</v>
      </c>
      <c r="Q19" s="58">
        <v>-100</v>
      </c>
    </row>
    <row r="20" spans="1:26">
      <c r="A20" s="25" t="s">
        <v>31</v>
      </c>
      <c r="B20" s="56">
        <v>2038316</v>
      </c>
      <c r="C20" s="56">
        <v>1986851</v>
      </c>
      <c r="D20" s="56">
        <v>2002799</v>
      </c>
      <c r="E20" s="56">
        <v>1974775</v>
      </c>
      <c r="G20" s="25" t="s">
        <v>32</v>
      </c>
      <c r="H20" s="56">
        <v>254170</v>
      </c>
      <c r="I20" s="56">
        <v>232838</v>
      </c>
      <c r="J20" s="56">
        <v>237924</v>
      </c>
      <c r="K20" s="56">
        <v>252695</v>
      </c>
      <c r="M20" s="25" t="s">
        <v>33</v>
      </c>
      <c r="N20" s="57"/>
      <c r="O20" s="57"/>
      <c r="P20" s="57"/>
      <c r="Q20" s="57"/>
    </row>
    <row r="21" spans="1:26">
      <c r="A21" s="25" t="s">
        <v>34</v>
      </c>
      <c r="B21" s="59"/>
      <c r="C21" s="59"/>
      <c r="D21" s="57"/>
      <c r="E21" s="59"/>
      <c r="G21" s="25" t="s">
        <v>35</v>
      </c>
      <c r="H21" s="56">
        <v>12305</v>
      </c>
      <c r="I21" s="56">
        <v>11086</v>
      </c>
      <c r="J21" s="56">
        <v>19500</v>
      </c>
      <c r="K21" s="56">
        <v>9793</v>
      </c>
      <c r="M21" s="25" t="s">
        <v>36</v>
      </c>
      <c r="N21" s="58">
        <v>-189200</v>
      </c>
      <c r="O21" s="58">
        <v>-236500</v>
      </c>
      <c r="P21" s="58">
        <v>-189200</v>
      </c>
      <c r="Q21" s="56">
        <v>736985</v>
      </c>
    </row>
    <row r="22" spans="1:26">
      <c r="A22" s="25" t="s">
        <v>37</v>
      </c>
      <c r="B22" s="56">
        <v>2208554</v>
      </c>
      <c r="C22" s="56">
        <v>2115824</v>
      </c>
      <c r="D22" s="56">
        <v>2114992</v>
      </c>
      <c r="E22" s="56">
        <v>2034487</v>
      </c>
      <c r="G22" s="25" t="s">
        <v>8</v>
      </c>
      <c r="H22" s="56">
        <v>241865</v>
      </c>
      <c r="I22" s="56">
        <v>221752</v>
      </c>
      <c r="J22" s="56">
        <v>218424</v>
      </c>
      <c r="K22" s="56">
        <v>242902</v>
      </c>
      <c r="M22" s="25" t="s">
        <v>38</v>
      </c>
      <c r="N22" s="56">
        <v>238229</v>
      </c>
      <c r="O22" s="56">
        <v>566920</v>
      </c>
      <c r="P22" s="56">
        <v>939127</v>
      </c>
      <c r="Q22" s="56">
        <v>63506</v>
      </c>
    </row>
    <row r="23" spans="1:26">
      <c r="B23" s="4">
        <f>B11+B12</f>
        <v>462160</v>
      </c>
      <c r="C23" s="4">
        <f>C11+C12</f>
        <v>429997</v>
      </c>
      <c r="D23" s="4">
        <f>D11+D12</f>
        <v>736972</v>
      </c>
      <c r="E23" s="4">
        <f>E11+E12</f>
        <v>1224266</v>
      </c>
      <c r="G23" s="25" t="s">
        <v>39</v>
      </c>
      <c r="H23" s="56">
        <v>26544</v>
      </c>
      <c r="I23" s="56">
        <v>64667</v>
      </c>
      <c r="J23" s="56">
        <v>58485</v>
      </c>
      <c r="K23" s="56">
        <v>70653</v>
      </c>
      <c r="M23" s="25" t="s">
        <v>40</v>
      </c>
      <c r="N23" s="56">
        <v>207685</v>
      </c>
      <c r="O23" s="56">
        <v>238229</v>
      </c>
      <c r="P23" s="56">
        <v>566920</v>
      </c>
      <c r="Q23" s="56">
        <v>939127</v>
      </c>
    </row>
    <row r="24" spans="1:26">
      <c r="G24" s="25" t="s">
        <v>41</v>
      </c>
      <c r="H24" s="56">
        <v>24186</v>
      </c>
      <c r="I24" s="56">
        <v>22175</v>
      </c>
      <c r="J24" s="56">
        <v>21842</v>
      </c>
      <c r="K24" s="56">
        <v>24290</v>
      </c>
      <c r="M24" s="2" t="s">
        <v>42</v>
      </c>
      <c r="N24" s="12">
        <f>SUM(N11:N17)</f>
        <v>313356</v>
      </c>
      <c r="O24" s="12">
        <f>SUM(O11:O17)</f>
        <v>272646</v>
      </c>
      <c r="P24" s="12">
        <f>SUM(P11:P17)</f>
        <v>313077</v>
      </c>
      <c r="Q24" s="12">
        <f>SUM(Q11:Q17)</f>
        <v>201339</v>
      </c>
    </row>
    <row r="25" spans="1:26">
      <c r="G25" s="25" t="s">
        <v>43</v>
      </c>
      <c r="H25" s="56">
        <v>189200</v>
      </c>
      <c r="I25" s="56">
        <v>236500</v>
      </c>
      <c r="J25" s="56">
        <v>189200</v>
      </c>
      <c r="K25" s="56">
        <v>194700</v>
      </c>
      <c r="M25" s="2" t="s">
        <v>44</v>
      </c>
      <c r="N25" s="12">
        <f>N18+N19</f>
        <v>-154700</v>
      </c>
      <c r="O25" s="12">
        <f>O18+O19</f>
        <v>-364837</v>
      </c>
      <c r="P25" s="12">
        <f>P18+P19</f>
        <v>-496084</v>
      </c>
      <c r="Q25" s="12">
        <f>Q18+Q19</f>
        <v>-62703</v>
      </c>
    </row>
    <row r="26" spans="1:26">
      <c r="B26" s="28">
        <f>H20/B22</f>
        <v>0.11508434930728431</v>
      </c>
      <c r="G26" s="25" t="s">
        <v>45</v>
      </c>
      <c r="H26" s="56">
        <v>1200</v>
      </c>
      <c r="I26" s="56">
        <v>1200</v>
      </c>
      <c r="J26" s="56">
        <v>1200</v>
      </c>
      <c r="K26" s="56">
        <v>36080</v>
      </c>
      <c r="M26" s="2" t="s">
        <v>46</v>
      </c>
      <c r="N26" s="12">
        <f>N20+N21</f>
        <v>-189200</v>
      </c>
      <c r="O26" s="12">
        <f>O20+O21</f>
        <v>-236500</v>
      </c>
      <c r="P26" s="12">
        <f>P20+P21</f>
        <v>-189200</v>
      </c>
      <c r="Q26" s="12">
        <f>Q20+Q21</f>
        <v>736985</v>
      </c>
    </row>
    <row r="27" spans="1:26">
      <c r="G27" s="25" t="s">
        <v>47</v>
      </c>
      <c r="H27" s="56">
        <v>53823</v>
      </c>
      <c r="I27" s="56">
        <v>26544</v>
      </c>
      <c r="J27" s="56">
        <v>64667</v>
      </c>
      <c r="K27" s="56">
        <v>58485</v>
      </c>
      <c r="M27" s="2" t="s">
        <v>48</v>
      </c>
      <c r="N27" s="12">
        <f>N24+N25+N26</f>
        <v>-30544</v>
      </c>
      <c r="O27" s="12">
        <f>O24+O25+O26</f>
        <v>-328691</v>
      </c>
      <c r="P27" s="12">
        <f>P24+P25+P26</f>
        <v>-372207</v>
      </c>
      <c r="Q27" s="12">
        <f>Q24+Q25+Q26</f>
        <v>875621</v>
      </c>
    </row>
    <row r="28" spans="1:26"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0.1287670575408163</v>
      </c>
      <c r="C30" s="24">
        <f t="shared" si="0"/>
        <v>0.13951491239346939</v>
      </c>
      <c r="D30" s="24">
        <f t="shared" si="0"/>
        <v>0.29275004349898248</v>
      </c>
      <c r="E30" s="24">
        <f t="shared" si="0"/>
        <v>0.54308924067836262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0.43149956647553528</v>
      </c>
      <c r="O30" s="26">
        <f t="shared" ref="O30:O42" si="3">O11/I$11</f>
        <v>0.48752882824849564</v>
      </c>
      <c r="P30" s="26">
        <f t="shared" ref="P30:P42" si="4">P11/J$11</f>
        <v>0.50394761735567317</v>
      </c>
      <c r="Q30" s="26">
        <f t="shared" ref="Q30:Q42" si="5">Q11/K$11</f>
        <v>0.56678380257699001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8.0492032343334144E-2</v>
      </c>
      <c r="C31" s="24">
        <f t="shared" si="0"/>
        <v>6.3714184166546936E-2</v>
      </c>
      <c r="D31" s="24">
        <f t="shared" si="0"/>
        <v>5.5701392723944108E-2</v>
      </c>
      <c r="E31" s="24">
        <f t="shared" si="0"/>
        <v>5.8667369218874339E-2</v>
      </c>
      <c r="F31" s="6"/>
      <c r="G31" s="25" t="s">
        <v>10</v>
      </c>
      <c r="H31" s="24">
        <f t="shared" si="1"/>
        <v>0.34205080264467763</v>
      </c>
      <c r="I31" s="24">
        <f t="shared" si="1"/>
        <v>0.3250947017581659</v>
      </c>
      <c r="J31" s="24">
        <f t="shared" si="1"/>
        <v>0.29971898317129109</v>
      </c>
      <c r="K31" s="24">
        <f t="shared" si="1"/>
        <v>0.23397314740924299</v>
      </c>
      <c r="L31" s="6"/>
      <c r="M31" s="25" t="s">
        <v>11</v>
      </c>
      <c r="N31" s="26">
        <f t="shared" si="2"/>
        <v>0.16149767538116255</v>
      </c>
      <c r="O31" s="26">
        <f t="shared" si="3"/>
        <v>0.11545150148730678</v>
      </c>
      <c r="P31" s="26">
        <f t="shared" si="4"/>
        <v>0.12415960279263358</v>
      </c>
      <c r="Q31" s="26">
        <f t="shared" si="5"/>
        <v>0.11749525156220103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</v>
      </c>
      <c r="C32" s="24">
        <f t="shared" si="0"/>
        <v>0</v>
      </c>
      <c r="D32" s="24">
        <f t="shared" si="0"/>
        <v>0</v>
      </c>
      <c r="E32" s="24">
        <f t="shared" si="0"/>
        <v>4.9152439902540542E-5</v>
      </c>
      <c r="F32" s="6"/>
      <c r="G32" s="25" t="s">
        <v>13</v>
      </c>
      <c r="H32" s="24">
        <f t="shared" si="1"/>
        <v>0.65794919735532231</v>
      </c>
      <c r="I32" s="24">
        <f t="shared" si="1"/>
        <v>0.6749052982418341</v>
      </c>
      <c r="J32" s="24">
        <f t="shared" si="1"/>
        <v>0.70028101682870891</v>
      </c>
      <c r="K32" s="24">
        <f t="shared" si="1"/>
        <v>0.76602685259075698</v>
      </c>
      <c r="L32" s="6"/>
      <c r="M32" s="25" t="s">
        <v>14</v>
      </c>
      <c r="N32" s="26">
        <f t="shared" si="2"/>
        <v>-3.5259989795226591E-2</v>
      </c>
      <c r="O32" s="26">
        <f t="shared" si="3"/>
        <v>-1.108939450235133E-2</v>
      </c>
      <c r="P32" s="26">
        <f t="shared" si="4"/>
        <v>2.0280278525053874E-3</v>
      </c>
      <c r="Q32" s="26">
        <f t="shared" si="5"/>
        <v>6.0413662433906883E-2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0.7886218765762576</v>
      </c>
      <c r="C33" s="24">
        <f t="shared" si="0"/>
        <v>0.79474379721564747</v>
      </c>
      <c r="D33" s="24">
        <f t="shared" si="0"/>
        <v>0.64738495464758261</v>
      </c>
      <c r="E33" s="24">
        <f t="shared" si="0"/>
        <v>0.39753854411456058</v>
      </c>
      <c r="F33" s="6"/>
      <c r="G33" s="25" t="s">
        <v>16</v>
      </c>
      <c r="H33" s="24">
        <f t="shared" si="1"/>
        <v>0</v>
      </c>
      <c r="I33" s="24">
        <f t="shared" si="1"/>
        <v>0</v>
      </c>
      <c r="J33" s="24">
        <f t="shared" si="1"/>
        <v>5.2604135423347934E-4</v>
      </c>
      <c r="K33" s="24">
        <f t="shared" si="1"/>
        <v>1.6450361907961975E-3</v>
      </c>
      <c r="L33" s="6"/>
      <c r="M33" s="25" t="s">
        <v>9</v>
      </c>
      <c r="N33" s="26">
        <f t="shared" si="2"/>
        <v>-7.6648195788925316E-2</v>
      </c>
      <c r="O33" s="26">
        <f t="shared" si="3"/>
        <v>-3.7375040947655154E-2</v>
      </c>
      <c r="P33" s="26">
        <f t="shared" si="4"/>
        <v>3.5761583292188287E-3</v>
      </c>
      <c r="Q33" s="26">
        <f t="shared" si="5"/>
        <v>-4.5816007952174949E-2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2.1190335395919685E-3</v>
      </c>
      <c r="C34" s="24">
        <f t="shared" si="0"/>
        <v>2.0271062243362396E-3</v>
      </c>
      <c r="D34" s="24">
        <f t="shared" si="0"/>
        <v>4.163609129490797E-3</v>
      </c>
      <c r="E34" s="24">
        <f t="shared" si="0"/>
        <v>6.5569354829989079E-4</v>
      </c>
      <c r="F34" s="6"/>
      <c r="G34" s="25" t="s">
        <v>18</v>
      </c>
      <c r="H34" s="24">
        <f t="shared" si="1"/>
        <v>0.65794919735532231</v>
      </c>
      <c r="I34" s="24">
        <f t="shared" si="1"/>
        <v>0.6749052982418341</v>
      </c>
      <c r="J34" s="24">
        <f t="shared" si="1"/>
        <v>0.70080705818294242</v>
      </c>
      <c r="K34" s="24">
        <f t="shared" si="1"/>
        <v>0.76767188878155324</v>
      </c>
      <c r="L34" s="6"/>
      <c r="M34" s="25" t="s">
        <v>19</v>
      </c>
      <c r="N34" s="26">
        <f t="shared" si="2"/>
        <v>3.5681025900856702E-5</v>
      </c>
      <c r="O34" s="26">
        <f t="shared" si="3"/>
        <v>7.2111843710769951E-4</v>
      </c>
      <c r="P34" s="26">
        <f t="shared" si="4"/>
        <v>-2.9695957326048739E-2</v>
      </c>
      <c r="Q34" s="26">
        <f t="shared" si="5"/>
        <v>-0.28243054680536306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4.2726244464980856E-2</v>
      </c>
      <c r="I35" s="24">
        <f t="shared" si="1"/>
        <v>4.7323397435192781E-2</v>
      </c>
      <c r="J35" s="24">
        <f t="shared" si="1"/>
        <v>3.7598113634161309E-2</v>
      </c>
      <c r="K35" s="24">
        <f t="shared" si="1"/>
        <v>3.3323066440795031E-2</v>
      </c>
      <c r="L35" s="6"/>
      <c r="M35" s="25" t="s">
        <v>22</v>
      </c>
      <c r="N35" s="26">
        <f t="shared" si="2"/>
        <v>4.2672722926129572E-2</v>
      </c>
      <c r="O35" s="26">
        <f t="shared" si="3"/>
        <v>4.588335909279783E-2</v>
      </c>
      <c r="P35" s="26">
        <f t="shared" si="4"/>
        <v>9.5504192180441413E-2</v>
      </c>
      <c r="Q35" s="26">
        <f t="shared" si="5"/>
        <v>1.5958017743057013E-2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7.3937970273762837E-2</v>
      </c>
      <c r="C36" s="24">
        <f t="shared" si="0"/>
        <v>5.8228378163779217E-2</v>
      </c>
      <c r="D36" s="24">
        <f t="shared" si="0"/>
        <v>5.0886244486976782E-2</v>
      </c>
      <c r="E36" s="24">
        <f t="shared" si="0"/>
        <v>2.7492434210688001E-2</v>
      </c>
      <c r="F36" s="6"/>
      <c r="G36" s="25" t="s">
        <v>11</v>
      </c>
      <c r="H36" s="24">
        <f t="shared" si="1"/>
        <v>0.16149767538116255</v>
      </c>
      <c r="I36" s="24">
        <f t="shared" si="1"/>
        <v>0.11545150148730678</v>
      </c>
      <c r="J36" s="24">
        <f t="shared" si="1"/>
        <v>0.11427094821261299</v>
      </c>
      <c r="K36" s="24">
        <f t="shared" si="1"/>
        <v>0.11131178219254156</v>
      </c>
      <c r="L36" s="6"/>
      <c r="M36" s="25" t="s">
        <v>24</v>
      </c>
      <c r="N36" s="26">
        <f t="shared" si="2"/>
        <v>3.5245717384866253E-2</v>
      </c>
      <c r="O36" s="26">
        <f t="shared" si="3"/>
        <v>-1.6994650972080845E-3</v>
      </c>
      <c r="P36" s="26">
        <f t="shared" si="4"/>
        <v>2.2811275742571972E-2</v>
      </c>
      <c r="Q36" s="26">
        <f t="shared" si="5"/>
        <v>3.7397156070766893E-2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3.1432330837280861E-3</v>
      </c>
      <c r="C37" s="24">
        <f t="shared" si="0"/>
        <v>2.7280151846278329E-3</v>
      </c>
      <c r="D37" s="24">
        <f t="shared" si="0"/>
        <v>2.1602918592599878E-3</v>
      </c>
      <c r="E37" s="24">
        <f t="shared" si="0"/>
        <v>1.8574707039170071E-3</v>
      </c>
      <c r="F37" s="6"/>
      <c r="G37" s="25" t="s">
        <v>26</v>
      </c>
      <c r="H37" s="24">
        <f t="shared" si="1"/>
        <v>2.7295984814155376E-4</v>
      </c>
      <c r="I37" s="24">
        <f t="shared" si="1"/>
        <v>2.2864730932683155E-4</v>
      </c>
      <c r="J37" s="24">
        <f t="shared" si="1"/>
        <v>0</v>
      </c>
      <c r="K37" s="24">
        <f t="shared" si="1"/>
        <v>3.3402401519500094E-2</v>
      </c>
      <c r="L37" s="6"/>
      <c r="M37" s="25" t="s">
        <v>27</v>
      </c>
      <c r="N37" s="26">
        <f t="shared" si="2"/>
        <v>-0.26885474611166021</v>
      </c>
      <c r="O37" s="26">
        <f t="shared" si="3"/>
        <v>-0.80233879815059506</v>
      </c>
      <c r="P37" s="26">
        <f t="shared" si="4"/>
        <v>-1.1184446710626497</v>
      </c>
      <c r="Q37" s="26">
        <f t="shared" si="5"/>
        <v>-0.14607688035803454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0.20449687969428498</v>
      </c>
      <c r="I38" s="24">
        <f t="shared" si="1"/>
        <v>0.16300354623182639</v>
      </c>
      <c r="J38" s="24">
        <f t="shared" si="1"/>
        <v>0.15186906184677432</v>
      </c>
      <c r="K38" s="24">
        <f t="shared" si="1"/>
        <v>0.1780372501528367</v>
      </c>
      <c r="L38" s="6"/>
      <c r="M38" s="25" t="s">
        <v>30</v>
      </c>
      <c r="N38" s="26">
        <f t="shared" si="2"/>
        <v>-7.1379892314663834E-3</v>
      </c>
      <c r="O38" s="26">
        <f t="shared" si="3"/>
        <v>2.3304437296773215E-4</v>
      </c>
      <c r="P38" s="26">
        <f t="shared" si="4"/>
        <v>-2.611979899682991E-2</v>
      </c>
      <c r="Q38" s="26">
        <f t="shared" si="5"/>
        <v>-2.3333846677960247E-4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0.92291879664250909</v>
      </c>
      <c r="C39" s="24">
        <f t="shared" si="0"/>
        <v>0.93904360665159292</v>
      </c>
      <c r="D39" s="24">
        <f t="shared" si="0"/>
        <v>0.94695346365376321</v>
      </c>
      <c r="E39" s="24">
        <f t="shared" si="0"/>
        <v>0.97065009508539501</v>
      </c>
      <c r="F39" s="6"/>
      <c r="G39" s="25" t="s">
        <v>32</v>
      </c>
      <c r="H39" s="24">
        <f t="shared" si="1"/>
        <v>0.45345231766103739</v>
      </c>
      <c r="I39" s="24">
        <f t="shared" si="1"/>
        <v>0.51190175201000776</v>
      </c>
      <c r="J39" s="24">
        <f t="shared" si="1"/>
        <v>0.54893799633616813</v>
      </c>
      <c r="K39" s="24">
        <f t="shared" si="1"/>
        <v>0.58963463862871646</v>
      </c>
      <c r="L39" s="6"/>
      <c r="M39" s="25" t="s">
        <v>33</v>
      </c>
      <c r="N39" s="26">
        <f t="shared" si="2"/>
        <v>0</v>
      </c>
      <c r="O39" s="26">
        <f t="shared" si="3"/>
        <v>0</v>
      </c>
      <c r="P39" s="26">
        <f t="shared" si="4"/>
        <v>0</v>
      </c>
      <c r="Q39" s="26">
        <f t="shared" si="5"/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2.1952751185502085E-2</v>
      </c>
      <c r="I40" s="24">
        <f t="shared" si="1"/>
        <v>2.4372923761512063E-2</v>
      </c>
      <c r="J40" s="24">
        <f t="shared" si="1"/>
        <v>4.499037898049494E-2</v>
      </c>
      <c r="K40" s="24">
        <f t="shared" si="1"/>
        <v>2.285083605172647E-2</v>
      </c>
      <c r="L40" s="6"/>
      <c r="M40" s="25" t="s">
        <v>36</v>
      </c>
      <c r="N40" s="26">
        <f t="shared" si="2"/>
        <v>-0.33754250502210442</v>
      </c>
      <c r="O40" s="26">
        <f t="shared" si="3"/>
        <v>-0.51995277553649677</v>
      </c>
      <c r="P40" s="26">
        <f t="shared" si="4"/>
        <v>-0.43652203605690476</v>
      </c>
      <c r="Q40" s="26">
        <f t="shared" si="5"/>
        <v>1.7196694993956534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0.43149956647553528</v>
      </c>
      <c r="I41" s="24">
        <f t="shared" si="1"/>
        <v>0.48752882824849564</v>
      </c>
      <c r="J41" s="24">
        <f t="shared" si="1"/>
        <v>0.50394761735567317</v>
      </c>
      <c r="K41" s="24">
        <f t="shared" si="1"/>
        <v>0.56678380257699001</v>
      </c>
      <c r="L41" s="6"/>
      <c r="M41" s="25" t="s">
        <v>38</v>
      </c>
      <c r="N41" s="26">
        <f t="shared" si="2"/>
        <v>0.42501275596675958</v>
      </c>
      <c r="O41" s="26">
        <f t="shared" si="3"/>
        <v>1.246391659649686</v>
      </c>
      <c r="P41" s="26">
        <f t="shared" si="4"/>
        <v>2.1667528020930908</v>
      </c>
      <c r="Q41" s="26">
        <f t="shared" si="5"/>
        <v>0.14818392671305436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4.7355857575617014E-2</v>
      </c>
      <c r="I42" s="24">
        <f t="shared" si="1"/>
        <v>0.14217245723305977</v>
      </c>
      <c r="J42" s="24">
        <f t="shared" si="1"/>
        <v>0.13493652895765368</v>
      </c>
      <c r="K42" s="24">
        <f t="shared" si="1"/>
        <v>0.16486062693379255</v>
      </c>
      <c r="L42" s="6"/>
      <c r="M42" s="25" t="s">
        <v>40</v>
      </c>
      <c r="N42" s="26">
        <f t="shared" si="2"/>
        <v>0.3705206932109712</v>
      </c>
      <c r="O42" s="26">
        <f t="shared" si="3"/>
        <v>0.52375403705405532</v>
      </c>
      <c r="P42" s="26">
        <f t="shared" si="4"/>
        <v>1.3079972129037021</v>
      </c>
      <c r="Q42" s="26">
        <f t="shared" si="5"/>
        <v>2.1913445429132774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4.3149064621906007E-2</v>
      </c>
      <c r="I43" s="24">
        <f t="shared" si="1"/>
        <v>4.8752443118485478E-2</v>
      </c>
      <c r="J43" s="24">
        <f t="shared" si="1"/>
        <v>5.0393838855998484E-2</v>
      </c>
      <c r="K43" s="24">
        <f t="shared" si="1"/>
        <v>5.6677913580765446E-2</v>
      </c>
      <c r="L43" s="6"/>
      <c r="M43" s="2" t="s">
        <v>49</v>
      </c>
      <c r="N43" s="26">
        <f>N24/H11</f>
        <v>0.55904317760944267</v>
      </c>
      <c r="O43" s="26">
        <f>O24/I11</f>
        <v>0.59942090671849335</v>
      </c>
      <c r="P43" s="26">
        <f>P24/J11</f>
        <v>0.72233091692699558</v>
      </c>
      <c r="Q43" s="26">
        <f>Q24/K11</f>
        <v>0.46980133562938386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0.33754250502210442</v>
      </c>
      <c r="I44" s="24">
        <f t="shared" si="1"/>
        <v>0.51995277553649677</v>
      </c>
      <c r="J44" s="24">
        <f t="shared" si="1"/>
        <v>0.43652203605690476</v>
      </c>
      <c r="K44" s="24">
        <f t="shared" si="1"/>
        <v>0.45430999481988604</v>
      </c>
      <c r="L44" s="6"/>
      <c r="M44" s="2" t="s">
        <v>50</v>
      </c>
      <c r="N44" s="26">
        <f>N24/B16</f>
        <v>0.141882879024013</v>
      </c>
      <c r="O44" s="26">
        <f>O24/C16</f>
        <v>0.12886043451629248</v>
      </c>
      <c r="P44" s="26">
        <f>P24/D16</f>
        <v>0.14802751026954239</v>
      </c>
      <c r="Q44" s="26">
        <f>Q24/E16</f>
        <v>9.8963030975376107E-2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2.140861554051402E-3</v>
      </c>
      <c r="I45" s="24">
        <f t="shared" si="1"/>
        <v>2.6382381845403641E-3</v>
      </c>
      <c r="J45" s="24">
        <f t="shared" si="1"/>
        <v>2.7686387064919963E-3</v>
      </c>
      <c r="K45" s="24">
        <f t="shared" si="1"/>
        <v>8.4188518814080571E-2</v>
      </c>
      <c r="L45" s="6"/>
      <c r="M45" s="2" t="s">
        <v>51</v>
      </c>
      <c r="N45" s="26">
        <f>N24/B20</f>
        <v>0.15373278726164147</v>
      </c>
      <c r="O45" s="26">
        <f>O24/C20</f>
        <v>0.13722518699187811</v>
      </c>
      <c r="P45" s="26">
        <f>P24/D20</f>
        <v>0.15631973053711332</v>
      </c>
      <c r="Q45" s="26">
        <f>Q24/E20</f>
        <v>0.10195541264194655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9.6022992853090516E-2</v>
      </c>
      <c r="I46" s="24">
        <f t="shared" si="1"/>
        <v>5.8357828642032851E-2</v>
      </c>
      <c r="J46" s="24">
        <f t="shared" si="1"/>
        <v>0.14919963269393161</v>
      </c>
      <c r="K46" s="24">
        <f t="shared" si="1"/>
        <v>0.13646800229605052</v>
      </c>
      <c r="L46" s="6"/>
      <c r="M46" s="2" t="s">
        <v>52</v>
      </c>
      <c r="N46" s="26">
        <f>N24/H22</f>
        <v>1.2955822462944204</v>
      </c>
      <c r="O46" s="26">
        <f>O24/I22</f>
        <v>1.2295086402828386</v>
      </c>
      <c r="P46" s="26">
        <f>P24/J22</f>
        <v>1.4333452367871662</v>
      </c>
      <c r="Q46" s="26">
        <f>Q24/K22</f>
        <v>0.82888984034713586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1.8406936171712545</v>
      </c>
      <c r="O47" s="26">
        <f>O24/(C22-C20)</f>
        <v>2.1139773440952756</v>
      </c>
      <c r="P47" s="26">
        <f>P24/(D22-D20)</f>
        <v>2.7905216903015342</v>
      </c>
      <c r="Q47" s="26">
        <f>Q24/(E22-E20)</f>
        <v>3.371834807073955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1.656215644820296</v>
      </c>
      <c r="O48" s="26">
        <f>O24/I25</f>
        <v>1.1528372093023256</v>
      </c>
      <c r="P48" s="26">
        <f>P24/J25</f>
        <v>1.6547410147991544</v>
      </c>
      <c r="Q48" s="26">
        <f>Q24/K25</f>
        <v>1.0340986132511556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2.0793502279378098</v>
      </c>
      <c r="O49" s="26">
        <f>O24/(O18*-1)</f>
        <v>0.74709201162921335</v>
      </c>
      <c r="P49" s="26">
        <f>P24/(P18*-1)</f>
        <v>0.64583518131540563</v>
      </c>
      <c r="Q49" s="26">
        <f>Q24/(Q18*-1)</f>
        <v>3.2161238279315687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0.18345833522154223</v>
      </c>
      <c r="I50" s="28">
        <f>LN(I13/J13)</f>
        <v>1.133509269855789E-2</v>
      </c>
      <c r="J50" s="28">
        <f>LN(J13/K13)</f>
        <v>-7.8449857911757306E-2</v>
      </c>
      <c r="M50" s="2"/>
      <c r="N50" s="12"/>
      <c r="O50" s="12"/>
    </row>
    <row r="51" spans="1:26">
      <c r="A51" s="29" t="s">
        <v>57</v>
      </c>
      <c r="B51" s="30">
        <f>B23/B17</f>
        <v>2.8301979227905152</v>
      </c>
      <c r="C51" s="30">
        <f>C23/C17</f>
        <v>3.4902070600076298</v>
      </c>
      <c r="D51" s="30">
        <f>D23/D17</f>
        <v>6.8476547981862783</v>
      </c>
      <c r="E51" s="30">
        <f>E23/E17</f>
        <v>21.888080381885469</v>
      </c>
      <c r="G51" s="29" t="s">
        <v>58</v>
      </c>
      <c r="H51" s="31">
        <f>H13/H11</f>
        <v>0.65794919735532231</v>
      </c>
      <c r="I51" s="31">
        <f>I13/I11</f>
        <v>0.6749052982418341</v>
      </c>
      <c r="J51" s="31">
        <f>J13/J11</f>
        <v>0.70028101682870891</v>
      </c>
      <c r="K51" s="31">
        <f>K13/K11</f>
        <v>0.76602685259075698</v>
      </c>
      <c r="M51" s="2" t="s">
        <v>59</v>
      </c>
      <c r="N51" s="32">
        <f>(N11-N24-N25)/B16</f>
        <v>3.7675782435023099E-2</v>
      </c>
      <c r="O51" s="32">
        <f>(O11-O24-O25)/C16</f>
        <v>0.14837859859799302</v>
      </c>
      <c r="P51" s="32">
        <f>(P11-P24-P25)/D16</f>
        <v>0.18980260918244607</v>
      </c>
      <c r="Q51" s="32">
        <f>(Q11-Q24-Q25)/E16</f>
        <v>5.1249282988782924E-2</v>
      </c>
    </row>
    <row r="52" spans="1:26">
      <c r="A52" s="29" t="s">
        <v>60</v>
      </c>
      <c r="B52" s="31">
        <f>H20/B16</f>
        <v>0.11508434930728431</v>
      </c>
      <c r="C52" s="31">
        <f>I20/C16</f>
        <v>0.1100460151695037</v>
      </c>
      <c r="D52" s="31">
        <f>J20/D16</f>
        <v>0.11249404253065733</v>
      </c>
      <c r="E52" s="31">
        <f>K20/E16</f>
        <v>0.12420575801172483</v>
      </c>
      <c r="F52" s="31"/>
      <c r="G52" s="29" t="s">
        <v>61</v>
      </c>
      <c r="H52" s="31">
        <f>H16/H11</f>
        <v>4.2726244464980856E-2</v>
      </c>
      <c r="I52" s="31">
        <f>I16/I11</f>
        <v>4.7323397435192781E-2</v>
      </c>
      <c r="J52" s="31">
        <f>J16/J11</f>
        <v>3.7598113634161309E-2</v>
      </c>
      <c r="K52" s="31">
        <f>K16/K11</f>
        <v>3.3323066440795031E-2</v>
      </c>
      <c r="M52" s="6"/>
    </row>
    <row r="53" spans="1:26">
      <c r="A53" s="29" t="s">
        <v>62</v>
      </c>
      <c r="B53" s="31">
        <f>H20/B20</f>
        <v>0.12469607264035606</v>
      </c>
      <c r="C53" s="31">
        <f>I20/C20</f>
        <v>0.11718946211869939</v>
      </c>
      <c r="D53" s="31">
        <f>J20/D20</f>
        <v>0.11879574535437655</v>
      </c>
      <c r="E53" s="31">
        <f>K20/E20</f>
        <v>0.12796141332556873</v>
      </c>
      <c r="G53" s="29" t="s">
        <v>11</v>
      </c>
      <c r="H53" s="31">
        <f>H17/H11</f>
        <v>0.16149767538116255</v>
      </c>
      <c r="I53" s="31">
        <f>I17/I11</f>
        <v>0.11545150148730678</v>
      </c>
      <c r="J53" s="31">
        <f>J17/J11</f>
        <v>0.11427094821261299</v>
      </c>
      <c r="K53" s="31">
        <f>K17/K11</f>
        <v>0.11131178219254156</v>
      </c>
      <c r="M53" s="6"/>
    </row>
    <row r="54" spans="1:26">
      <c r="A54" s="29" t="s">
        <v>63</v>
      </c>
      <c r="B54" s="30">
        <f>H11/B12</f>
        <v>3.1530564602775479</v>
      </c>
      <c r="C54" s="30">
        <f>I11/C12</f>
        <v>3.3740505014539197</v>
      </c>
      <c r="D54" s="30">
        <f>J11/D12</f>
        <v>3.6790880076055954</v>
      </c>
      <c r="E54" s="30">
        <f>K11/E12</f>
        <v>3.5905594932890965</v>
      </c>
      <c r="G54" s="29" t="s">
        <v>64</v>
      </c>
      <c r="H54" s="31">
        <f>H25/H22</f>
        <v>0.78225456349616518</v>
      </c>
      <c r="I54" s="31">
        <f>I25/I22</f>
        <v>1.0665067282369494</v>
      </c>
      <c r="J54" s="31">
        <f>J25/J22</f>
        <v>0.86620517891806759</v>
      </c>
      <c r="K54" s="31">
        <f>K25/K22</f>
        <v>0.80155782990671132</v>
      </c>
      <c r="M54" s="6"/>
    </row>
    <row r="55" spans="1:26">
      <c r="A55" s="29" t="s">
        <v>65</v>
      </c>
      <c r="B55" s="31">
        <f>(B22-B20)/B16</f>
        <v>7.7081203357490913E-2</v>
      </c>
      <c r="C55" s="31">
        <f>(C22-C20)/C16</f>
        <v>6.0956393348407051E-2</v>
      </c>
      <c r="D55" s="31">
        <f>(D22-D20)/D16</f>
        <v>5.3046536346236774E-2</v>
      </c>
      <c r="E55" s="31">
        <f>(E22-E20)/E16</f>
        <v>2.9349904914605009E-2</v>
      </c>
      <c r="G55" s="29" t="s">
        <v>66</v>
      </c>
      <c r="H55" s="31">
        <f>H22/H11</f>
        <v>0.43149956647553528</v>
      </c>
      <c r="I55" s="31">
        <f>I22/I11</f>
        <v>0.48752882824849564</v>
      </c>
      <c r="J55" s="31">
        <f>J22/J11</f>
        <v>0.50394761735567317</v>
      </c>
      <c r="K55" s="31">
        <f>K22/K11</f>
        <v>0.56678380257699001</v>
      </c>
      <c r="L55" s="31"/>
      <c r="M55" s="6"/>
    </row>
    <row r="56" spans="1:26">
      <c r="A56" s="29" t="s">
        <v>67</v>
      </c>
      <c r="B56" s="31">
        <f>(B22-B20)/B20</f>
        <v>8.351894406951621E-2</v>
      </c>
      <c r="C56" s="31">
        <f>(C22-C20)/C20</f>
        <v>6.4913272308794165E-2</v>
      </c>
      <c r="D56" s="31">
        <f>(D22-D20)/D20</f>
        <v>5.6018102665319883E-2</v>
      </c>
      <c r="E56" s="31">
        <f>(E22-E20)/E20</f>
        <v>3.0237368814168702E-2</v>
      </c>
      <c r="G56" s="33" t="s">
        <v>68</v>
      </c>
      <c r="H56" s="34">
        <f>H13/B16</f>
        <v>0.16698482355423502</v>
      </c>
      <c r="I56" s="34">
        <f>I13/C16</f>
        <v>0.14508768215125645</v>
      </c>
      <c r="J56" s="34">
        <f>J13/D16</f>
        <v>0.14350881705462715</v>
      </c>
      <c r="K56" s="34">
        <f>K13/E16</f>
        <v>0.16136254495605035</v>
      </c>
      <c r="M56" s="6"/>
    </row>
    <row r="57" spans="1:26">
      <c r="A57" s="29" t="s">
        <v>69</v>
      </c>
      <c r="B57" s="30">
        <f>H11/B16</f>
        <v>0.25379592258101907</v>
      </c>
      <c r="C57" s="30">
        <f>I11/C16</f>
        <v>0.21497487503686508</v>
      </c>
      <c r="D57" s="30">
        <f>J11/D16</f>
        <v>0.20493032597759234</v>
      </c>
      <c r="E57" s="30">
        <f>K11/E16</f>
        <v>0.21064867949512581</v>
      </c>
      <c r="G57" s="33" t="s">
        <v>70</v>
      </c>
      <c r="H57" s="35">
        <f>H25/$B$5</f>
        <v>76.92307692307692</v>
      </c>
      <c r="I57" s="35">
        <f>I25/$B$5</f>
        <v>96.15384615384616</v>
      </c>
      <c r="J57" s="35">
        <f>J25/$B$5</f>
        <v>76.92307692307692</v>
      </c>
      <c r="K57" s="35">
        <f>K25/$B$5</f>
        <v>79.159212880143116</v>
      </c>
      <c r="M57" s="6"/>
    </row>
    <row r="58" spans="1:26">
      <c r="A58" s="29" t="s">
        <v>71</v>
      </c>
      <c r="B58" s="30">
        <f>B16/B20</f>
        <v>1.0835189440695161</v>
      </c>
      <c r="C58" s="30">
        <f>C16/C20</f>
        <v>1.0649132723087942</v>
      </c>
      <c r="D58" s="30">
        <f>D16/D20</f>
        <v>1.0560181026653199</v>
      </c>
      <c r="E58" s="30">
        <f>E16/E20</f>
        <v>1.0302373688141686</v>
      </c>
      <c r="G58" s="36" t="s">
        <v>72</v>
      </c>
      <c r="H58" s="37">
        <f>H22/$B$7/1000</f>
        <v>1.2783562367864696</v>
      </c>
      <c r="I58" s="37">
        <f>I22/$B$7/1000</f>
        <v>1.1720507399577169</v>
      </c>
      <c r="J58" s="37">
        <f>J22/$B$7/1000</f>
        <v>1.1544608879492599</v>
      </c>
      <c r="K58" s="37">
        <f>K22/$B$7/1000</f>
        <v>1.2838372093023256</v>
      </c>
      <c r="M58" s="6"/>
    </row>
    <row r="59" spans="1:26">
      <c r="G59" s="36" t="s">
        <v>73</v>
      </c>
      <c r="H59" s="37">
        <f>B20/$B$7/1000</f>
        <v>10.773340380549683</v>
      </c>
      <c r="I59" s="37">
        <f>C20/$B$7/1000</f>
        <v>10.501326638477801</v>
      </c>
      <c r="J59" s="37">
        <f>D20/$B$7/1000</f>
        <v>10.585618393234672</v>
      </c>
      <c r="K59" s="37">
        <f>E20/$B$7/1000</f>
        <v>10.4375</v>
      </c>
      <c r="M59" s="6"/>
    </row>
    <row r="60" spans="1:26">
      <c r="G60" s="33" t="s">
        <v>74</v>
      </c>
      <c r="H60" s="38">
        <f>SQRT(22.5*H58*H59)</f>
        <v>17.603231365184978</v>
      </c>
      <c r="I60" s="38">
        <f>SQRT(22.5*I58*I59)</f>
        <v>16.641273157010126</v>
      </c>
      <c r="J60" s="38">
        <f>SQRT(22.5*J58*J59)</f>
        <v>16.582079309280807</v>
      </c>
      <c r="K60" s="38">
        <f>SQRT(22.5*K58*K59)</f>
        <v>17.363788314250236</v>
      </c>
      <c r="M60" s="6"/>
    </row>
    <row r="61" spans="1:26">
      <c r="G61" s="33" t="s">
        <v>75</v>
      </c>
      <c r="H61" s="39">
        <f>H58-(B20*0.08/1000/$B$7)</f>
        <v>0.41648900634249486</v>
      </c>
      <c r="I61" s="39">
        <f>I58-(C20*0.08/1000/$B$7)</f>
        <v>0.33194460887949273</v>
      </c>
      <c r="J61" s="39">
        <f>J58-(D20*0.08/1000/$B$7)</f>
        <v>0.30761141649048596</v>
      </c>
      <c r="K61" s="39">
        <f>K58-(E20*0.08/1000/$B$7)</f>
        <v>0.44883720930232551</v>
      </c>
      <c r="M61" s="6"/>
    </row>
    <row r="62" spans="1:26">
      <c r="G62" s="40" t="s">
        <v>76</v>
      </c>
      <c r="H62" s="60">
        <f>H25/$B$7/1000</f>
        <v>1.0000000000000002</v>
      </c>
      <c r="I62" s="60">
        <f>I25/$B$7/1000</f>
        <v>1.25</v>
      </c>
      <c r="J62" s="60">
        <f>J25/$B$7/1000</f>
        <v>1.0000000000000002</v>
      </c>
      <c r="K62" s="60">
        <f>K25/$B$7/1000</f>
        <v>1.0290697674418605</v>
      </c>
      <c r="M62" s="6"/>
    </row>
    <row r="63" spans="1:26">
      <c r="A63" s="2"/>
      <c r="G63" s="61"/>
      <c r="H63" s="61"/>
      <c r="I63" s="61"/>
      <c r="J63" s="61"/>
      <c r="K63" s="61"/>
      <c r="M63" s="6"/>
    </row>
    <row r="64" spans="1:26">
      <c r="M64" s="6"/>
    </row>
    <row r="65" spans="7:13">
      <c r="M65" s="6"/>
    </row>
    <row r="66" spans="7:13">
      <c r="M66" s="6"/>
    </row>
    <row r="67" spans="7:13">
      <c r="M67" s="6"/>
    </row>
    <row r="68" spans="7:13">
      <c r="M68" s="6"/>
    </row>
    <row r="69" spans="7:13">
      <c r="M69" s="6"/>
    </row>
    <row r="70" spans="7:13">
      <c r="M70" s="6"/>
    </row>
    <row r="71" spans="7:13">
      <c r="M71" s="6"/>
    </row>
    <row r="72" spans="7:13">
      <c r="M72" s="6"/>
    </row>
    <row r="73" spans="7:13">
      <c r="M73" s="6"/>
    </row>
    <row r="74" spans="7:13">
      <c r="G74" s="2" t="s">
        <v>86</v>
      </c>
      <c r="H74" s="6">
        <f>H59*$B$7/$B$5</f>
        <v>0.82871849081151416</v>
      </c>
      <c r="I74" s="6">
        <f>I59*$B$7/$B$5</f>
        <v>0.80779435680598466</v>
      </c>
      <c r="J74" s="6">
        <f>J59*$B$7/$B$5</f>
        <v>0.81427833794112858</v>
      </c>
      <c r="K74" s="6">
        <f>K59*$B$7/$B$5</f>
        <v>0.80288461538461531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0.14237168337425424</v>
      </c>
      <c r="I77" s="28">
        <f>(I15-I16)/$B$6</f>
        <v>0.11785176246091804</v>
      </c>
      <c r="J77" s="28">
        <f>(J15-J16)/$B$6</f>
        <v>0.11867623556397965</v>
      </c>
      <c r="K77" s="28">
        <f>(K15-K16)/$B$6</f>
        <v>0.12993151134548478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6" width="15.140625"/>
    <col min="7" max="7" width="22.5703125"/>
    <col min="8" max="12" width="15.140625"/>
    <col min="13" max="13" width="23.140625"/>
    <col min="14" max="26" width="15.140625"/>
    <col min="27" max="1025" width="14.42578125"/>
  </cols>
  <sheetData>
    <row r="1" spans="1:17">
      <c r="A1" s="2" t="s">
        <v>92</v>
      </c>
      <c r="G1" s="6"/>
      <c r="M1" s="6"/>
    </row>
    <row r="2" spans="1:17">
      <c r="A2" s="2" t="s">
        <v>93</v>
      </c>
      <c r="G2" s="6"/>
      <c r="M2" s="6"/>
    </row>
    <row r="3" spans="1:17">
      <c r="A3" s="2" t="s">
        <v>94</v>
      </c>
      <c r="G3" s="6"/>
      <c r="M3" s="6"/>
    </row>
    <row r="4" spans="1:17">
      <c r="A4" s="2" t="s">
        <v>95</v>
      </c>
      <c r="G4" s="6"/>
      <c r="M4" s="6"/>
    </row>
    <row r="5" spans="1:17">
      <c r="A5" s="2" t="s">
        <v>0</v>
      </c>
      <c r="B5" s="55">
        <v>5515.65</v>
      </c>
      <c r="G5" s="6"/>
      <c r="M5" s="6"/>
    </row>
    <row r="6" spans="1:17">
      <c r="A6" s="2" t="s">
        <v>1</v>
      </c>
      <c r="B6" s="4">
        <f>B5*1000+(B22-B20)-N23</f>
        <v>5692303</v>
      </c>
      <c r="G6" s="6"/>
      <c r="M6" s="6"/>
    </row>
    <row r="7" spans="1:17">
      <c r="A7" s="2" t="s">
        <v>2</v>
      </c>
      <c r="B7" s="62">
        <v>157.5</v>
      </c>
      <c r="G7" s="6"/>
      <c r="M7" s="6"/>
    </row>
    <row r="8" spans="1:17">
      <c r="G8" s="6"/>
      <c r="M8" s="6"/>
    </row>
    <row r="9" spans="1:17">
      <c r="G9" s="6"/>
      <c r="M9" s="6"/>
    </row>
    <row r="10" spans="1:17">
      <c r="A10" s="20" t="s">
        <v>3</v>
      </c>
      <c r="B10" s="9">
        <v>42369</v>
      </c>
      <c r="C10" s="9">
        <v>42004</v>
      </c>
      <c r="D10" s="9">
        <v>41639</v>
      </c>
      <c r="E10" s="9">
        <v>41274</v>
      </c>
      <c r="G10" s="20" t="s">
        <v>4</v>
      </c>
      <c r="H10" s="9">
        <v>42369</v>
      </c>
      <c r="I10" s="9">
        <v>42004</v>
      </c>
      <c r="J10" s="9">
        <v>41639</v>
      </c>
      <c r="K10" s="9">
        <v>41274</v>
      </c>
      <c r="M10" s="20" t="s">
        <v>96</v>
      </c>
      <c r="N10" s="9">
        <v>42369</v>
      </c>
      <c r="O10" s="9">
        <v>42004</v>
      </c>
      <c r="P10" s="9">
        <v>41639</v>
      </c>
      <c r="Q10" s="9">
        <v>41274</v>
      </c>
    </row>
    <row r="11" spans="1:17">
      <c r="A11" s="23" t="s">
        <v>6</v>
      </c>
      <c r="B11" s="12">
        <v>531585</v>
      </c>
      <c r="C11" s="12">
        <v>505833</v>
      </c>
      <c r="D11" s="12">
        <v>550830</v>
      </c>
      <c r="E11" s="12">
        <v>976089</v>
      </c>
      <c r="G11" s="23" t="s">
        <v>7</v>
      </c>
      <c r="H11" s="12">
        <v>1612978</v>
      </c>
      <c r="I11" s="12">
        <v>1559390</v>
      </c>
      <c r="J11" s="12">
        <v>1620261</v>
      </c>
      <c r="K11" s="12">
        <v>1496499</v>
      </c>
      <c r="M11" s="23" t="s">
        <v>8</v>
      </c>
      <c r="N11" s="12">
        <v>806084</v>
      </c>
      <c r="O11" s="12">
        <v>801933</v>
      </c>
      <c r="P11" s="12">
        <v>821296</v>
      </c>
      <c r="Q11" s="12">
        <v>750156</v>
      </c>
    </row>
    <row r="12" spans="1:17">
      <c r="A12" s="23" t="s">
        <v>9</v>
      </c>
      <c r="B12" s="12">
        <v>528852</v>
      </c>
      <c r="C12" s="12">
        <v>551293</v>
      </c>
      <c r="D12" s="12">
        <v>481334</v>
      </c>
      <c r="E12" s="12">
        <v>323788</v>
      </c>
      <c r="G12" s="23" t="s">
        <v>10</v>
      </c>
      <c r="H12" s="12">
        <v>741515</v>
      </c>
      <c r="I12" s="12">
        <v>706174</v>
      </c>
      <c r="J12" s="12">
        <v>735153</v>
      </c>
      <c r="K12" s="12">
        <v>704453</v>
      </c>
      <c r="M12" s="23" t="s">
        <v>11</v>
      </c>
      <c r="N12" s="12">
        <v>209031</v>
      </c>
      <c r="O12" s="12">
        <v>209615</v>
      </c>
      <c r="P12" s="12">
        <v>206205</v>
      </c>
      <c r="Q12" s="12">
        <v>187608</v>
      </c>
    </row>
    <row r="13" spans="1:17">
      <c r="A13" s="23" t="s">
        <v>12</v>
      </c>
      <c r="B13" s="45">
        <v>0</v>
      </c>
      <c r="C13" s="45">
        <v>0</v>
      </c>
      <c r="D13" s="45">
        <v>0</v>
      </c>
      <c r="E13" s="45">
        <v>0</v>
      </c>
      <c r="G13" s="23" t="s">
        <v>13</v>
      </c>
      <c r="H13" s="12">
        <v>871463</v>
      </c>
      <c r="I13" s="12">
        <v>853216</v>
      </c>
      <c r="J13" s="12">
        <v>885108</v>
      </c>
      <c r="K13" s="12">
        <v>792046</v>
      </c>
      <c r="M13" s="23" t="s">
        <v>14</v>
      </c>
      <c r="N13" s="14">
        <v>-28172</v>
      </c>
      <c r="O13" s="12">
        <v>23646</v>
      </c>
      <c r="P13" s="14">
        <v>-50238</v>
      </c>
      <c r="Q13" s="12">
        <v>2931</v>
      </c>
    </row>
    <row r="14" spans="1:17">
      <c r="A14" s="23" t="s">
        <v>15</v>
      </c>
      <c r="B14" s="12">
        <v>3106371</v>
      </c>
      <c r="C14" s="12">
        <v>3187186</v>
      </c>
      <c r="D14" s="12">
        <v>3280724</v>
      </c>
      <c r="E14" s="12">
        <v>3396737</v>
      </c>
      <c r="G14" s="23" t="s">
        <v>16</v>
      </c>
      <c r="H14" s="12">
        <v>3558</v>
      </c>
      <c r="I14" s="12">
        <v>21944</v>
      </c>
      <c r="J14" s="12">
        <v>7255</v>
      </c>
      <c r="K14" s="12">
        <v>4516</v>
      </c>
      <c r="M14" s="23" t="s">
        <v>9</v>
      </c>
      <c r="N14" s="12">
        <v>22441</v>
      </c>
      <c r="O14" s="14">
        <v>-69959</v>
      </c>
      <c r="P14" s="14">
        <v>-157545</v>
      </c>
      <c r="Q14" s="14">
        <v>-19240</v>
      </c>
    </row>
    <row r="15" spans="1:17">
      <c r="A15" s="23" t="s">
        <v>17</v>
      </c>
      <c r="B15" s="45">
        <v>0</v>
      </c>
      <c r="C15" s="45">
        <v>0</v>
      </c>
      <c r="D15" s="45">
        <v>0</v>
      </c>
      <c r="E15" s="12">
        <v>15429</v>
      </c>
      <c r="G15" s="23" t="s">
        <v>18</v>
      </c>
      <c r="H15" s="12">
        <v>875021</v>
      </c>
      <c r="I15" s="12">
        <v>875160</v>
      </c>
      <c r="J15" s="12">
        <v>892363</v>
      </c>
      <c r="K15" s="12">
        <v>796562</v>
      </c>
      <c r="M15" s="23" t="s">
        <v>19</v>
      </c>
      <c r="N15" s="14">
        <v>-166</v>
      </c>
      <c r="O15" s="14">
        <v>-182</v>
      </c>
      <c r="P15" s="12">
        <v>239</v>
      </c>
      <c r="Q15" s="14">
        <v>-341</v>
      </c>
    </row>
    <row r="16" spans="1:17">
      <c r="A16" s="23" t="s">
        <v>20</v>
      </c>
      <c r="B16" s="12">
        <v>4166808</v>
      </c>
      <c r="C16" s="12">
        <v>4244312</v>
      </c>
      <c r="D16" s="12">
        <v>4312888</v>
      </c>
      <c r="E16" s="12">
        <v>4712043</v>
      </c>
      <c r="G16" s="23" t="s">
        <v>21</v>
      </c>
      <c r="H16" s="12">
        <v>45792</v>
      </c>
      <c r="I16" s="12">
        <v>40394</v>
      </c>
      <c r="J16" s="12">
        <v>38128</v>
      </c>
      <c r="K16" s="12">
        <v>34552</v>
      </c>
      <c r="M16" s="23" t="s">
        <v>22</v>
      </c>
      <c r="N16" s="14">
        <v>-11763</v>
      </c>
      <c r="O16" s="14">
        <v>-42060</v>
      </c>
      <c r="P16" s="14">
        <v>-25600</v>
      </c>
      <c r="Q16" s="14">
        <v>-104740</v>
      </c>
    </row>
    <row r="17" spans="1:26">
      <c r="A17" s="23" t="s">
        <v>23</v>
      </c>
      <c r="B17" s="12">
        <v>256344</v>
      </c>
      <c r="C17" s="12">
        <v>447667</v>
      </c>
      <c r="D17" s="12">
        <v>528167</v>
      </c>
      <c r="E17" s="12">
        <v>543447</v>
      </c>
      <c r="G17" s="23" t="s">
        <v>11</v>
      </c>
      <c r="H17" s="17">
        <v>0</v>
      </c>
      <c r="I17" s="17"/>
      <c r="J17" s="17"/>
      <c r="K17" s="17">
        <v>0</v>
      </c>
      <c r="M17" s="23" t="s">
        <v>24</v>
      </c>
      <c r="N17" s="12">
        <v>11408</v>
      </c>
      <c r="O17" s="12">
        <v>6171</v>
      </c>
      <c r="P17" s="12">
        <v>10362</v>
      </c>
      <c r="Q17" s="14">
        <v>-1726</v>
      </c>
    </row>
    <row r="18" spans="1:26">
      <c r="A18" s="23" t="s">
        <v>25</v>
      </c>
      <c r="B18" s="12">
        <v>175328</v>
      </c>
      <c r="C18" s="12">
        <v>233920</v>
      </c>
      <c r="D18" s="12">
        <v>469761</v>
      </c>
      <c r="E18" s="12">
        <v>835311</v>
      </c>
      <c r="G18" s="23" t="s">
        <v>26</v>
      </c>
      <c r="H18" s="12">
        <v>7670</v>
      </c>
      <c r="I18" s="12">
        <v>11092</v>
      </c>
      <c r="J18" s="12">
        <v>16523</v>
      </c>
      <c r="K18" s="12">
        <v>17077</v>
      </c>
      <c r="M18" s="23" t="s">
        <v>27</v>
      </c>
      <c r="N18" s="14">
        <v>-33303</v>
      </c>
      <c r="O18" s="14">
        <v>-24330</v>
      </c>
      <c r="P18" s="14">
        <v>-12561</v>
      </c>
      <c r="Q18" s="14">
        <v>-17489</v>
      </c>
    </row>
    <row r="19" spans="1:26">
      <c r="A19" s="23" t="s">
        <v>28</v>
      </c>
      <c r="B19" s="12">
        <v>31732</v>
      </c>
      <c r="C19" s="12">
        <v>33205</v>
      </c>
      <c r="D19" s="12">
        <v>33922</v>
      </c>
      <c r="E19" s="12">
        <v>31343</v>
      </c>
      <c r="G19" s="23" t="s">
        <v>29</v>
      </c>
      <c r="H19" s="12">
        <v>53462</v>
      </c>
      <c r="I19" s="12">
        <v>51486</v>
      </c>
      <c r="J19" s="12">
        <v>54651</v>
      </c>
      <c r="K19" s="12">
        <v>51629</v>
      </c>
      <c r="M19" s="23" t="s">
        <v>30</v>
      </c>
      <c r="N19" s="14">
        <v>-94787</v>
      </c>
      <c r="O19" s="14">
        <v>-90066</v>
      </c>
      <c r="P19" s="14">
        <v>-73731</v>
      </c>
      <c r="Q19" s="14">
        <v>-62658</v>
      </c>
    </row>
    <row r="20" spans="1:26">
      <c r="A20" s="23" t="s">
        <v>31</v>
      </c>
      <c r="B20" s="12">
        <v>3703404</v>
      </c>
      <c r="C20" s="12">
        <v>3529520</v>
      </c>
      <c r="D20" s="12">
        <v>3281038</v>
      </c>
      <c r="E20" s="12">
        <v>3301942</v>
      </c>
      <c r="G20" s="23" t="s">
        <v>32</v>
      </c>
      <c r="H20" s="12">
        <v>821559</v>
      </c>
      <c r="I20" s="12">
        <v>823674</v>
      </c>
      <c r="J20" s="12">
        <v>837712</v>
      </c>
      <c r="K20" s="12">
        <v>744933</v>
      </c>
      <c r="M20" s="23" t="s">
        <v>33</v>
      </c>
      <c r="N20" s="14">
        <v>-252012</v>
      </c>
      <c r="O20" s="14">
        <v>-283376</v>
      </c>
      <c r="P20" s="14">
        <v>-358376</v>
      </c>
      <c r="Q20" s="14">
        <v>-225299</v>
      </c>
    </row>
    <row r="21" spans="1:26">
      <c r="A21" s="23" t="s">
        <v>34</v>
      </c>
      <c r="B21" s="17"/>
      <c r="C21" s="17"/>
      <c r="D21" s="45"/>
      <c r="E21" s="17"/>
      <c r="G21" s="23" t="s">
        <v>35</v>
      </c>
      <c r="H21" s="12">
        <v>15475</v>
      </c>
      <c r="I21" s="12">
        <v>21742</v>
      </c>
      <c r="J21" s="12">
        <v>16416</v>
      </c>
      <c r="K21" s="12">
        <v>24450</v>
      </c>
      <c r="M21" s="23" t="s">
        <v>36</v>
      </c>
      <c r="N21" s="14">
        <v>-631671</v>
      </c>
      <c r="O21" s="14">
        <v>-552926</v>
      </c>
      <c r="P21" s="14">
        <v>-835308</v>
      </c>
      <c r="Q21" s="14">
        <v>-281109</v>
      </c>
    </row>
    <row r="22" spans="1:26">
      <c r="A22" s="23" t="s">
        <v>37</v>
      </c>
      <c r="B22" s="12">
        <v>4166808</v>
      </c>
      <c r="C22" s="12">
        <v>4244312</v>
      </c>
      <c r="D22" s="12">
        <v>4312888</v>
      </c>
      <c r="E22" s="12">
        <v>4712043</v>
      </c>
      <c r="G22" s="23" t="s">
        <v>8</v>
      </c>
      <c r="H22" s="12">
        <v>806084</v>
      </c>
      <c r="I22" s="12">
        <v>801932</v>
      </c>
      <c r="J22" s="12">
        <v>821296</v>
      </c>
      <c r="K22" s="12">
        <v>720483</v>
      </c>
      <c r="M22" s="23" t="s">
        <v>38</v>
      </c>
      <c r="N22" s="12">
        <v>289661</v>
      </c>
      <c r="O22" s="12">
        <v>311195</v>
      </c>
      <c r="P22" s="12">
        <v>786452</v>
      </c>
      <c r="Q22" s="12">
        <v>558359</v>
      </c>
    </row>
    <row r="23" spans="1:26">
      <c r="G23" s="23" t="s">
        <v>39</v>
      </c>
      <c r="H23" s="12">
        <v>771070</v>
      </c>
      <c r="I23" s="12">
        <v>601338</v>
      </c>
      <c r="J23" s="12">
        <v>457862</v>
      </c>
      <c r="K23" s="12">
        <v>264579</v>
      </c>
      <c r="M23" s="23" t="s">
        <v>40</v>
      </c>
      <c r="N23" s="12">
        <v>286751</v>
      </c>
      <c r="O23" s="12">
        <v>289661</v>
      </c>
      <c r="P23" s="12">
        <v>311195</v>
      </c>
      <c r="Q23" s="12">
        <v>786452</v>
      </c>
    </row>
    <row r="24" spans="1:26">
      <c r="G24" s="23" t="s">
        <v>41</v>
      </c>
      <c r="H24" s="45">
        <v>0</v>
      </c>
      <c r="I24" s="45">
        <v>0</v>
      </c>
      <c r="J24" s="12">
        <v>45620</v>
      </c>
      <c r="K24" s="45">
        <v>0</v>
      </c>
      <c r="M24" s="2" t="s">
        <v>42</v>
      </c>
      <c r="N24" s="12">
        <f>SUM(N11:N17)</f>
        <v>1008863</v>
      </c>
      <c r="O24" s="12">
        <f>SUM(O11:O17)</f>
        <v>929164</v>
      </c>
      <c r="P24" s="12">
        <f>SUM(P11:P17)</f>
        <v>804719</v>
      </c>
      <c r="Q24" s="12">
        <f>SUM(Q11:Q17)</f>
        <v>814648</v>
      </c>
    </row>
    <row r="25" spans="1:26">
      <c r="G25" s="23" t="s">
        <v>43</v>
      </c>
      <c r="H25" s="12">
        <v>787500</v>
      </c>
      <c r="I25" s="12">
        <v>630000</v>
      </c>
      <c r="J25" s="12">
        <v>630000</v>
      </c>
      <c r="K25" s="12">
        <v>525000</v>
      </c>
      <c r="M25" s="2" t="s">
        <v>44</v>
      </c>
      <c r="N25" s="12">
        <f>N18+N19</f>
        <v>-128090</v>
      </c>
      <c r="O25" s="12">
        <f>O18+O19</f>
        <v>-114396</v>
      </c>
      <c r="P25" s="12">
        <f>P18+P19</f>
        <v>-86292</v>
      </c>
      <c r="Q25" s="12">
        <f>Q18+Q19</f>
        <v>-80147</v>
      </c>
    </row>
    <row r="26" spans="1:26">
      <c r="G26" s="23" t="s">
        <v>45</v>
      </c>
      <c r="H26" s="12">
        <v>2200</v>
      </c>
      <c r="I26" s="12">
        <v>2200</v>
      </c>
      <c r="J26" s="12">
        <v>2200</v>
      </c>
      <c r="K26" s="12">
        <v>2200</v>
      </c>
      <c r="M26" s="2" t="s">
        <v>46</v>
      </c>
      <c r="N26" s="12">
        <f>N20+N21</f>
        <v>-883683</v>
      </c>
      <c r="O26" s="12">
        <f>O20+O21</f>
        <v>-836302</v>
      </c>
      <c r="P26" s="12">
        <f>P20+P21</f>
        <v>-1193684</v>
      </c>
      <c r="Q26" s="12">
        <f>Q20+Q21</f>
        <v>-506408</v>
      </c>
    </row>
    <row r="27" spans="1:26">
      <c r="G27" s="23" t="s">
        <v>47</v>
      </c>
      <c r="H27" s="12">
        <v>787454</v>
      </c>
      <c r="I27" s="12">
        <v>771070</v>
      </c>
      <c r="J27" s="12">
        <v>601338</v>
      </c>
      <c r="K27" s="12">
        <v>457862</v>
      </c>
      <c r="M27" s="2" t="s">
        <v>48</v>
      </c>
      <c r="N27" s="12">
        <f>N24+N25+N26</f>
        <v>-2910</v>
      </c>
      <c r="O27" s="12">
        <f>O24+O25+O26</f>
        <v>-21534</v>
      </c>
      <c r="P27" s="12">
        <f>P24+P25+P26</f>
        <v>-475257</v>
      </c>
      <c r="Q27" s="12">
        <f>Q24+Q25+Q26</f>
        <v>228093</v>
      </c>
    </row>
    <row r="28" spans="1:26">
      <c r="G28" s="6"/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0.12757607261961673</v>
      </c>
      <c r="C30" s="24">
        <f t="shared" si="0"/>
        <v>0.11917903302113511</v>
      </c>
      <c r="D30" s="24">
        <f t="shared" si="0"/>
        <v>0.12771720480568938</v>
      </c>
      <c r="E30" s="24">
        <f t="shared" si="0"/>
        <v>0.20714772764170447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0.49974891164045637</v>
      </c>
      <c r="O30" s="26">
        <f t="shared" ref="O30:O42" si="3">O11/I$11</f>
        <v>0.51426070450624928</v>
      </c>
      <c r="P30" s="26">
        <f t="shared" ref="P30:P42" si="4">P11/J$11</f>
        <v>0.5068911737059647</v>
      </c>
      <c r="Q30" s="26">
        <f t="shared" ref="Q30:Q42" si="5">Q11/K$11</f>
        <v>0.50127397345404179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0.12692017486766849</v>
      </c>
      <c r="C31" s="24">
        <f t="shared" si="0"/>
        <v>0.12988983844731489</v>
      </c>
      <c r="D31" s="24">
        <f t="shared" si="0"/>
        <v>0.11160364006670241</v>
      </c>
      <c r="E31" s="24">
        <f t="shared" si="0"/>
        <v>6.8714992626340635E-2</v>
      </c>
      <c r="F31" s="6"/>
      <c r="G31" s="25" t="s">
        <v>10</v>
      </c>
      <c r="H31" s="24">
        <f t="shared" si="1"/>
        <v>0.4597179874741007</v>
      </c>
      <c r="I31" s="24">
        <f t="shared" si="1"/>
        <v>0.45285271805000671</v>
      </c>
      <c r="J31" s="24">
        <f t="shared" si="1"/>
        <v>0.45372504800152569</v>
      </c>
      <c r="K31" s="24">
        <f t="shared" si="1"/>
        <v>0.47073402655130409</v>
      </c>
      <c r="L31" s="6"/>
      <c r="M31" s="25" t="s">
        <v>11</v>
      </c>
      <c r="N31" s="26">
        <f t="shared" si="2"/>
        <v>0.12959321205868896</v>
      </c>
      <c r="O31" s="26">
        <f t="shared" si="3"/>
        <v>0.13442115186066347</v>
      </c>
      <c r="P31" s="26">
        <f t="shared" si="4"/>
        <v>0.12726653298450064</v>
      </c>
      <c r="Q31" s="26">
        <f t="shared" si="5"/>
        <v>0.12536460097868424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</v>
      </c>
      <c r="C32" s="24">
        <f t="shared" si="0"/>
        <v>0</v>
      </c>
      <c r="D32" s="24">
        <f t="shared" si="0"/>
        <v>0</v>
      </c>
      <c r="E32" s="24">
        <f t="shared" si="0"/>
        <v>0</v>
      </c>
      <c r="F32" s="6"/>
      <c r="G32" s="25" t="s">
        <v>13</v>
      </c>
      <c r="H32" s="24">
        <f t="shared" si="1"/>
        <v>0.54028201252589925</v>
      </c>
      <c r="I32" s="24">
        <f t="shared" si="1"/>
        <v>0.54714728194999329</v>
      </c>
      <c r="J32" s="24">
        <f t="shared" si="1"/>
        <v>0.54627495199847431</v>
      </c>
      <c r="K32" s="24">
        <f t="shared" si="1"/>
        <v>0.52926597344869597</v>
      </c>
      <c r="L32" s="6"/>
      <c r="M32" s="25" t="s">
        <v>14</v>
      </c>
      <c r="N32" s="26">
        <f t="shared" si="2"/>
        <v>-1.746583028410803E-2</v>
      </c>
      <c r="O32" s="26">
        <f t="shared" si="3"/>
        <v>1.5163621672577097E-2</v>
      </c>
      <c r="P32" s="26">
        <f t="shared" si="4"/>
        <v>-3.1006115681362446E-2</v>
      </c>
      <c r="Q32" s="26">
        <f t="shared" si="5"/>
        <v>1.9585713054268662E-3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0.74550375251271472</v>
      </c>
      <c r="C33" s="24">
        <f t="shared" si="0"/>
        <v>0.75093112853154997</v>
      </c>
      <c r="D33" s="24">
        <f t="shared" si="0"/>
        <v>0.7606791551276082</v>
      </c>
      <c r="E33" s="24">
        <f t="shared" si="0"/>
        <v>0.72086290384022389</v>
      </c>
      <c r="F33" s="6"/>
      <c r="G33" s="25" t="s">
        <v>16</v>
      </c>
      <c r="H33" s="24">
        <f t="shared" si="1"/>
        <v>2.2058577364353388E-3</v>
      </c>
      <c r="I33" s="24">
        <f t="shared" si="1"/>
        <v>1.4072169245666575E-2</v>
      </c>
      <c r="J33" s="24">
        <f t="shared" si="1"/>
        <v>4.4776736587500412E-3</v>
      </c>
      <c r="K33" s="24">
        <f t="shared" si="1"/>
        <v>3.0177100018108933E-3</v>
      </c>
      <c r="L33" s="6"/>
      <c r="M33" s="25" t="s">
        <v>9</v>
      </c>
      <c r="N33" s="26">
        <f t="shared" si="2"/>
        <v>1.3912775003750827E-2</v>
      </c>
      <c r="O33" s="26">
        <f t="shared" si="3"/>
        <v>-4.4863055425518952E-2</v>
      </c>
      <c r="P33" s="26">
        <f t="shared" si="4"/>
        <v>-9.7234334468335654E-2</v>
      </c>
      <c r="Q33" s="26">
        <f t="shared" si="5"/>
        <v>-1.285667414411904E-2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0</v>
      </c>
      <c r="E34" s="24">
        <f t="shared" si="0"/>
        <v>3.2743758917310388E-3</v>
      </c>
      <c r="F34" s="6"/>
      <c r="G34" s="25" t="s">
        <v>18</v>
      </c>
      <c r="H34" s="24">
        <f t="shared" si="1"/>
        <v>0.54248787026233469</v>
      </c>
      <c r="I34" s="24">
        <f t="shared" si="1"/>
        <v>0.56121945119565986</v>
      </c>
      <c r="J34" s="24">
        <f t="shared" si="1"/>
        <v>0.55075262565722438</v>
      </c>
      <c r="K34" s="24">
        <f t="shared" si="1"/>
        <v>0.53228368345050681</v>
      </c>
      <c r="L34" s="6"/>
      <c r="M34" s="25" t="s">
        <v>19</v>
      </c>
      <c r="N34" s="26">
        <f t="shared" si="2"/>
        <v>-1.0291522884999051E-4</v>
      </c>
      <c r="O34" s="26">
        <f t="shared" si="3"/>
        <v>-1.167123041702204E-4</v>
      </c>
      <c r="P34" s="26">
        <f t="shared" si="4"/>
        <v>1.4750709916488763E-4</v>
      </c>
      <c r="Q34" s="26">
        <f t="shared" si="5"/>
        <v>-2.2786517064161084E-4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2.8389723852402203E-2</v>
      </c>
      <c r="I35" s="24">
        <f t="shared" si="1"/>
        <v>2.5903718761823534E-2</v>
      </c>
      <c r="J35" s="24">
        <f t="shared" si="1"/>
        <v>2.3532011200664584E-2</v>
      </c>
      <c r="K35" s="24">
        <f t="shared" si="1"/>
        <v>2.3088555354864922E-2</v>
      </c>
      <c r="L35" s="6"/>
      <c r="M35" s="25" t="s">
        <v>22</v>
      </c>
      <c r="N35" s="26">
        <f t="shared" si="2"/>
        <v>-7.2927219094122793E-3</v>
      </c>
      <c r="O35" s="26">
        <f t="shared" si="3"/>
        <v>-2.6972085238458628E-2</v>
      </c>
      <c r="P35" s="26">
        <f t="shared" si="4"/>
        <v>-1.5799923592557E-2</v>
      </c>
      <c r="Q35" s="26">
        <f t="shared" si="5"/>
        <v>-6.9990023381238484E-2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6.152047322554819E-2</v>
      </c>
      <c r="C36" s="24">
        <f t="shared" si="0"/>
        <v>0.10547457397099931</v>
      </c>
      <c r="D36" s="24">
        <f t="shared" si="0"/>
        <v>0.12246248917198869</v>
      </c>
      <c r="E36" s="24">
        <f t="shared" si="0"/>
        <v>0.11533150270487769</v>
      </c>
      <c r="F36" s="6"/>
      <c r="G36" s="25" t="s">
        <v>11</v>
      </c>
      <c r="H36" s="24">
        <f t="shared" si="1"/>
        <v>0</v>
      </c>
      <c r="I36" s="24">
        <f t="shared" si="1"/>
        <v>0</v>
      </c>
      <c r="J36" s="24">
        <f t="shared" si="1"/>
        <v>0</v>
      </c>
      <c r="K36" s="24">
        <f t="shared" si="1"/>
        <v>0</v>
      </c>
      <c r="L36" s="6"/>
      <c r="M36" s="25" t="s">
        <v>24</v>
      </c>
      <c r="N36" s="26">
        <f t="shared" si="2"/>
        <v>7.0726321127752515E-3</v>
      </c>
      <c r="O36" s="26">
        <f t="shared" si="3"/>
        <v>3.9573166430463191E-3</v>
      </c>
      <c r="P36" s="26">
        <f t="shared" si="4"/>
        <v>6.3952659478935803E-3</v>
      </c>
      <c r="Q36" s="26">
        <f t="shared" si="5"/>
        <v>-1.153358605652259E-3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4.2077292738230319E-2</v>
      </c>
      <c r="C37" s="24">
        <f t="shared" si="0"/>
        <v>5.5113761665023686E-2</v>
      </c>
      <c r="D37" s="24">
        <f t="shared" si="0"/>
        <v>0.10892028728777561</v>
      </c>
      <c r="E37" s="24">
        <f t="shared" si="0"/>
        <v>0.17727151471240818</v>
      </c>
      <c r="F37" s="6"/>
      <c r="G37" s="25" t="s">
        <v>26</v>
      </c>
      <c r="H37" s="24">
        <f t="shared" si="1"/>
        <v>4.7551795498760674E-3</v>
      </c>
      <c r="I37" s="24">
        <f t="shared" si="1"/>
        <v>7.1130377904180479E-3</v>
      </c>
      <c r="J37" s="24">
        <f t="shared" si="1"/>
        <v>1.0197739746867943E-2</v>
      </c>
      <c r="K37" s="24">
        <f t="shared" si="1"/>
        <v>1.141130064236595E-2</v>
      </c>
      <c r="L37" s="6"/>
      <c r="M37" s="25" t="s">
        <v>27</v>
      </c>
      <c r="N37" s="26">
        <f t="shared" si="2"/>
        <v>-2.0646902809585747E-2</v>
      </c>
      <c r="O37" s="26">
        <f t="shared" si="3"/>
        <v>-1.5602254727810233E-2</v>
      </c>
      <c r="P37" s="26">
        <f t="shared" si="4"/>
        <v>-7.7524546971136131E-3</v>
      </c>
      <c r="Q37" s="26">
        <f t="shared" si="5"/>
        <v>-1.1686609880795109E-2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7.6154216848964484E-3</v>
      </c>
      <c r="C38" s="24">
        <f t="shared" si="0"/>
        <v>7.8234116624791017E-3</v>
      </c>
      <c r="D38" s="24">
        <f t="shared" si="0"/>
        <v>7.865263368768213E-3</v>
      </c>
      <c r="E38" s="24">
        <f t="shared" si="0"/>
        <v>6.6516795368802874E-3</v>
      </c>
      <c r="F38" s="6"/>
      <c r="G38" s="25" t="s">
        <v>29</v>
      </c>
      <c r="H38" s="24">
        <f t="shared" si="1"/>
        <v>3.314490340227827E-2</v>
      </c>
      <c r="I38" s="24">
        <f t="shared" si="1"/>
        <v>3.301675655224158E-2</v>
      </c>
      <c r="J38" s="24">
        <f t="shared" si="1"/>
        <v>3.3729750947532527E-2</v>
      </c>
      <c r="K38" s="24">
        <f t="shared" si="1"/>
        <v>3.449985599723087E-2</v>
      </c>
      <c r="L38" s="6"/>
      <c r="M38" s="25" t="s">
        <v>30</v>
      </c>
      <c r="N38" s="26">
        <f t="shared" si="2"/>
        <v>-5.8765215644602714E-2</v>
      </c>
      <c r="O38" s="26">
        <f t="shared" si="3"/>
        <v>-5.7757199930742152E-2</v>
      </c>
      <c r="P38" s="26">
        <f t="shared" si="4"/>
        <v>-4.5505631500110166E-2</v>
      </c>
      <c r="Q38" s="26">
        <f t="shared" si="5"/>
        <v>-4.1869723935665841E-2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0.88878681235132506</v>
      </c>
      <c r="C39" s="24">
        <f t="shared" si="0"/>
        <v>0.83158825270149794</v>
      </c>
      <c r="D39" s="24">
        <f t="shared" si="0"/>
        <v>0.76075196017146751</v>
      </c>
      <c r="E39" s="24">
        <f t="shared" si="0"/>
        <v>0.70074530304583382</v>
      </c>
      <c r="F39" s="6"/>
      <c r="G39" s="25" t="s">
        <v>32</v>
      </c>
      <c r="H39" s="24">
        <f t="shared" si="1"/>
        <v>0.50934296686005642</v>
      </c>
      <c r="I39" s="24">
        <f t="shared" si="1"/>
        <v>0.52820269464341829</v>
      </c>
      <c r="J39" s="24">
        <f t="shared" si="1"/>
        <v>0.51702287470969188</v>
      </c>
      <c r="K39" s="24">
        <f t="shared" si="1"/>
        <v>0.49778382745327593</v>
      </c>
      <c r="L39" s="6"/>
      <c r="M39" s="25" t="s">
        <v>33</v>
      </c>
      <c r="N39" s="26">
        <f t="shared" si="2"/>
        <v>-0.15624019670448078</v>
      </c>
      <c r="O39" s="26">
        <f t="shared" si="3"/>
        <v>-0.18172234014582625</v>
      </c>
      <c r="P39" s="26">
        <f t="shared" si="4"/>
        <v>-0.22118411786743</v>
      </c>
      <c r="Q39" s="26">
        <f t="shared" si="5"/>
        <v>-0.15055071871080436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9.5940552196000194E-3</v>
      </c>
      <c r="I40" s="24">
        <f t="shared" si="1"/>
        <v>1.3942631413565561E-2</v>
      </c>
      <c r="J40" s="24">
        <f t="shared" si="1"/>
        <v>1.0131701003727176E-2</v>
      </c>
      <c r="K40" s="24">
        <f t="shared" si="1"/>
        <v>1.6338133202895559E-2</v>
      </c>
      <c r="L40" s="6"/>
      <c r="M40" s="25" t="s">
        <v>36</v>
      </c>
      <c r="N40" s="26">
        <f t="shared" si="2"/>
        <v>-0.39161786459579734</v>
      </c>
      <c r="O40" s="26">
        <f t="shared" si="3"/>
        <v>-0.354578392833095</v>
      </c>
      <c r="P40" s="26">
        <f t="shared" si="4"/>
        <v>-0.51553916313482828</v>
      </c>
      <c r="Q40" s="26">
        <f t="shared" si="5"/>
        <v>-0.1878444288970457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0.49974891164045637</v>
      </c>
      <c r="I41" s="24">
        <f t="shared" si="1"/>
        <v>0.51426006322985274</v>
      </c>
      <c r="J41" s="24">
        <f t="shared" si="1"/>
        <v>0.5068911737059647</v>
      </c>
      <c r="K41" s="24">
        <f t="shared" si="1"/>
        <v>0.48144569425038036</v>
      </c>
      <c r="L41" s="6"/>
      <c r="M41" s="25" t="s">
        <v>38</v>
      </c>
      <c r="N41" s="26">
        <f t="shared" si="2"/>
        <v>0.17958149460191025</v>
      </c>
      <c r="O41" s="26">
        <f t="shared" si="3"/>
        <v>0.19956200822116341</v>
      </c>
      <c r="P41" s="26">
        <f t="shared" si="4"/>
        <v>0.48538599645365776</v>
      </c>
      <c r="Q41" s="26">
        <f t="shared" si="5"/>
        <v>0.37311017247589207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0.47804123800820592</v>
      </c>
      <c r="I42" s="24">
        <f t="shared" si="1"/>
        <v>0.38562386574237362</v>
      </c>
      <c r="J42" s="24">
        <f t="shared" si="1"/>
        <v>0.28258533655997398</v>
      </c>
      <c r="K42" s="24">
        <f t="shared" si="1"/>
        <v>0.17679864804453593</v>
      </c>
      <c r="L42" s="6"/>
      <c r="M42" s="25" t="s">
        <v>40</v>
      </c>
      <c r="N42" s="26">
        <f t="shared" si="2"/>
        <v>0.17777737824074477</v>
      </c>
      <c r="O42" s="26">
        <f t="shared" si="3"/>
        <v>0.18575276229807811</v>
      </c>
      <c r="P42" s="26">
        <f t="shared" si="4"/>
        <v>0.19206473524944437</v>
      </c>
      <c r="Q42" s="26">
        <f t="shared" si="5"/>
        <v>0.52552791548808253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2.8155957589548843E-2</v>
      </c>
      <c r="K43" s="24">
        <f t="shared" si="1"/>
        <v>0</v>
      </c>
      <c r="L43" s="6"/>
      <c r="M43" s="2" t="s">
        <v>49</v>
      </c>
      <c r="N43" s="26">
        <f>N24/H11</f>
        <v>0.62546606339330113</v>
      </c>
      <c r="O43" s="26">
        <f>O24/I11</f>
        <v>0.59585094171438835</v>
      </c>
      <c r="P43" s="26">
        <f>P24/J11</f>
        <v>0.49666010599526866</v>
      </c>
      <c r="Q43" s="26">
        <f>Q24/K11</f>
        <v>0.54436922443650149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0.48822736577932246</v>
      </c>
      <c r="I44" s="24">
        <f t="shared" si="1"/>
        <v>0.40400412981999373</v>
      </c>
      <c r="J44" s="24">
        <f t="shared" si="1"/>
        <v>0.38882624466058247</v>
      </c>
      <c r="K44" s="24">
        <f t="shared" si="1"/>
        <v>0.35081881110511937</v>
      </c>
      <c r="L44" s="6"/>
      <c r="M44" s="2" t="s">
        <v>50</v>
      </c>
      <c r="N44" s="26">
        <f>N24/B16</f>
        <v>0.24211890732666347</v>
      </c>
      <c r="O44" s="26">
        <f>O24/C16</f>
        <v>0.21891981550837922</v>
      </c>
      <c r="P44" s="26">
        <f>P24/D16</f>
        <v>0.18658472002982687</v>
      </c>
      <c r="Q44" s="26">
        <f>Q24/E16</f>
        <v>0.17288636797244847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1.3639367678914406E-3</v>
      </c>
      <c r="I45" s="24">
        <f t="shared" si="1"/>
        <v>1.4108080723872797E-3</v>
      </c>
      <c r="J45" s="24">
        <f t="shared" si="1"/>
        <v>1.3578059337353674E-3</v>
      </c>
      <c r="K45" s="24">
        <f t="shared" si="1"/>
        <v>1.4700978751071667E-3</v>
      </c>
      <c r="L45" s="6"/>
      <c r="M45" s="2" t="s">
        <v>51</v>
      </c>
      <c r="N45" s="26">
        <f>N24/B20</f>
        <v>0.27241505382615561</v>
      </c>
      <c r="O45" s="26">
        <f>O24/C20</f>
        <v>0.26325506017815453</v>
      </c>
      <c r="P45" s="26">
        <f>P24/D20</f>
        <v>0.24526354159872576</v>
      </c>
      <c r="Q45" s="26">
        <f>Q24/E20</f>
        <v>0.24671784059199101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0.4881988471014484</v>
      </c>
      <c r="I46" s="24">
        <f t="shared" si="1"/>
        <v>0.49446899107984532</v>
      </c>
      <c r="J46" s="24">
        <f t="shared" si="1"/>
        <v>0.37113650208207194</v>
      </c>
      <c r="K46" s="24">
        <f t="shared" si="1"/>
        <v>0.30595543331468983</v>
      </c>
      <c r="L46" s="6"/>
      <c r="M46" s="2" t="s">
        <v>52</v>
      </c>
      <c r="N46" s="26">
        <f>N24/H22</f>
        <v>1.2515606313982166</v>
      </c>
      <c r="O46" s="26">
        <f>O24/I22</f>
        <v>1.1586568437224103</v>
      </c>
      <c r="P46" s="26">
        <f>P24/J22</f>
        <v>0.97981604683329759</v>
      </c>
      <c r="Q46" s="26">
        <f>Q24/K22</f>
        <v>1.1306970462870047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2.1770701159247654</v>
      </c>
      <c r="O47" s="26">
        <f>O24/(C22-C20)</f>
        <v>1.2999082250500844</v>
      </c>
      <c r="P47" s="26">
        <f>P24/(D22-D20)</f>
        <v>0.77987982749430629</v>
      </c>
      <c r="Q47" s="26">
        <f>Q24/(E22-E20)</f>
        <v>0.5777231560008822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1.281095873015873</v>
      </c>
      <c r="O48" s="26">
        <f>O24/I25</f>
        <v>1.474863492063492</v>
      </c>
      <c r="P48" s="26">
        <f>P24/J25</f>
        <v>1.2773317460317459</v>
      </c>
      <c r="Q48" s="26">
        <f>Q24/K25</f>
        <v>1.5517104761904761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30.293457045911779</v>
      </c>
      <c r="O49" s="26">
        <f>O24/(O18*-1)</f>
        <v>38.190053431976985</v>
      </c>
      <c r="P49" s="26">
        <f>P24/(P18*-1)</f>
        <v>64.064883369158508</v>
      </c>
      <c r="Q49" s="26">
        <f>Q24/(Q18*-1)</f>
        <v>46.580593515924292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2.1160669170875616E-2</v>
      </c>
      <c r="I50" s="28">
        <f>LN(I13/J13)</f>
        <v>-3.6696932109197319E-2</v>
      </c>
      <c r="J50" s="28">
        <f>LN(J13/K13)</f>
        <v>0.11109020052482239</v>
      </c>
      <c r="M50" s="2"/>
      <c r="N50" s="12"/>
      <c r="O50" s="12"/>
    </row>
    <row r="51" spans="1:26">
      <c r="A51" s="29" t="s">
        <v>57</v>
      </c>
      <c r="B51" s="30">
        <f>B11/B17</f>
        <v>2.0737173485628686</v>
      </c>
      <c r="C51" s="30">
        <f>C11/C17</f>
        <v>1.1299313999021594</v>
      </c>
      <c r="D51" s="30">
        <f>D11/D17</f>
        <v>1.0429087769588028</v>
      </c>
      <c r="E51" s="30">
        <f>E11/E17</f>
        <v>1.7961070720787859</v>
      </c>
      <c r="G51" s="29" t="s">
        <v>58</v>
      </c>
      <c r="H51" s="63">
        <f>H13/H11</f>
        <v>0.54028201252589925</v>
      </c>
      <c r="I51" s="63">
        <f>I13/I11</f>
        <v>0.54714728194999329</v>
      </c>
      <c r="J51" s="63">
        <f>J13/J11</f>
        <v>0.54627495199847431</v>
      </c>
      <c r="K51" s="63">
        <f>K13/K11</f>
        <v>0.52926597344869597</v>
      </c>
      <c r="M51" s="2" t="s">
        <v>59</v>
      </c>
      <c r="N51" s="32">
        <f>(N11-N24-N25)/B16</f>
        <v>-1.7924751992412419E-2</v>
      </c>
      <c r="O51" s="32">
        <f>(O11-O24-O25)/C16</f>
        <v>-3.0240472425212849E-3</v>
      </c>
      <c r="P51" s="32">
        <f>(P11-P24-P25)/D16</f>
        <v>2.3851535212600004E-2</v>
      </c>
      <c r="Q51" s="32">
        <f>(Q11-Q24-Q25)/E16</f>
        <v>3.3223381026022047E-3</v>
      </c>
    </row>
    <row r="52" spans="1:26">
      <c r="A52" s="29" t="s">
        <v>60</v>
      </c>
      <c r="B52" s="31">
        <f>H20/B16</f>
        <v>0.19716747207934707</v>
      </c>
      <c r="C52" s="31">
        <f>I20/C16</f>
        <v>0.19406537502426777</v>
      </c>
      <c r="D52" s="31">
        <f>J20/D16</f>
        <v>0.19423458248857842</v>
      </c>
      <c r="E52" s="31">
        <f>K20/E16</f>
        <v>0.15809129925172585</v>
      </c>
      <c r="F52" s="31"/>
      <c r="G52" s="29" t="s">
        <v>61</v>
      </c>
      <c r="H52" s="63">
        <f>H16/H11</f>
        <v>2.8389723852402203E-2</v>
      </c>
      <c r="I52" s="63">
        <f>I16/I11</f>
        <v>2.5903718761823534E-2</v>
      </c>
      <c r="J52" s="63">
        <f>J16/J11</f>
        <v>2.3532011200664584E-2</v>
      </c>
      <c r="K52" s="63">
        <f>K16/K11</f>
        <v>2.3088555354864922E-2</v>
      </c>
      <c r="M52" s="2"/>
      <c r="N52" s="12"/>
      <c r="O52" s="12"/>
    </row>
    <row r="53" spans="1:26">
      <c r="A53" s="29" t="s">
        <v>62</v>
      </c>
      <c r="B53" s="31">
        <f>H20/B20</f>
        <v>0.22183888120226689</v>
      </c>
      <c r="C53" s="31">
        <f>I20/C20</f>
        <v>0.23336714340760217</v>
      </c>
      <c r="D53" s="31">
        <f>J20/D20</f>
        <v>0.25531920081388876</v>
      </c>
      <c r="E53" s="31">
        <f>K20/E20</f>
        <v>0.22560450789262804</v>
      </c>
      <c r="G53" s="29" t="s">
        <v>11</v>
      </c>
      <c r="H53" s="63">
        <f>H17/H11</f>
        <v>0</v>
      </c>
      <c r="I53" s="63">
        <f>I17/I11</f>
        <v>0</v>
      </c>
      <c r="J53" s="63">
        <f>J17/J11</f>
        <v>0</v>
      </c>
      <c r="K53" s="63">
        <f>K17/K11</f>
        <v>0</v>
      </c>
      <c r="M53" s="2"/>
      <c r="N53" s="32"/>
      <c r="O53" s="32"/>
    </row>
    <row r="54" spans="1:26">
      <c r="A54" s="29" t="s">
        <v>63</v>
      </c>
      <c r="B54" s="30">
        <f>H11/B12</f>
        <v>3.0499610477033272</v>
      </c>
      <c r="C54" s="30">
        <f>I11/C12</f>
        <v>2.828604752826537</v>
      </c>
      <c r="D54" s="30">
        <f>J11/D12</f>
        <v>3.3661885509853864</v>
      </c>
      <c r="E54" s="30">
        <f>K11/E12</f>
        <v>4.6218482463834363</v>
      </c>
      <c r="G54" s="29" t="s">
        <v>64</v>
      </c>
      <c r="H54" s="63">
        <f>H25/H22</f>
        <v>0.97694533075957346</v>
      </c>
      <c r="I54" s="63">
        <f>I25/I22</f>
        <v>0.78560276931211126</v>
      </c>
      <c r="J54" s="63">
        <f>J25/J22</f>
        <v>0.76708032183281061</v>
      </c>
      <c r="K54" s="63">
        <f>K25/K22</f>
        <v>0.72867784527879209</v>
      </c>
      <c r="M54" s="6"/>
    </row>
    <row r="55" spans="1:26">
      <c r="A55" s="29" t="s">
        <v>65</v>
      </c>
      <c r="B55" s="31">
        <f>(B22-B20)/B16</f>
        <v>0.11121318764867495</v>
      </c>
      <c r="C55" s="31">
        <f>(C22-C20)/C16</f>
        <v>0.16841174729850208</v>
      </c>
      <c r="D55" s="31">
        <f>(D22-D20)/D16</f>
        <v>0.23924803982853252</v>
      </c>
      <c r="E55" s="31">
        <f>(E22-E20)/E16</f>
        <v>0.29925469695416618</v>
      </c>
      <c r="G55" s="29" t="s">
        <v>66</v>
      </c>
      <c r="H55" s="63">
        <f>H22/H11</f>
        <v>0.49974891164045637</v>
      </c>
      <c r="I55" s="63">
        <f>I22/I11</f>
        <v>0.51426006322985274</v>
      </c>
      <c r="J55" s="63">
        <f>J22/J11</f>
        <v>0.5068911737059647</v>
      </c>
      <c r="K55" s="63">
        <f>K22/K11</f>
        <v>0.48144569425038036</v>
      </c>
      <c r="L55" s="31"/>
      <c r="M55" s="6"/>
    </row>
    <row r="56" spans="1:26">
      <c r="A56" s="29" t="s">
        <v>67</v>
      </c>
      <c r="B56" s="31">
        <f>(B22-B20)/B20</f>
        <v>0.12512920545530545</v>
      </c>
      <c r="C56" s="31">
        <f>(C22-C20)/C20</f>
        <v>0.20251818944219044</v>
      </c>
      <c r="D56" s="31">
        <f>(D22-D20)/D20</f>
        <v>0.31448889040602396</v>
      </c>
      <c r="E56" s="31">
        <f>(E22-E20)/E20</f>
        <v>0.42705201969023077</v>
      </c>
      <c r="G56" s="33" t="s">
        <v>68</v>
      </c>
      <c r="H56" s="50">
        <f>H13/B16</f>
        <v>0.2091440258346437</v>
      </c>
      <c r="I56" s="50">
        <f>I13/C16</f>
        <v>0.20102574928516093</v>
      </c>
      <c r="J56" s="50">
        <f>J13/D16</f>
        <v>0.20522397057377795</v>
      </c>
      <c r="K56" s="50">
        <f>K13/E16</f>
        <v>0.16808972244098791</v>
      </c>
      <c r="M56" s="6"/>
    </row>
    <row r="57" spans="1:26">
      <c r="A57" s="29" t="s">
        <v>69</v>
      </c>
      <c r="B57" s="30">
        <f>H11/B16</f>
        <v>0.38710158951408369</v>
      </c>
      <c r="C57" s="30">
        <f>I11/C16</f>
        <v>0.36740701437594597</v>
      </c>
      <c r="D57" s="30">
        <f>J11/D16</f>
        <v>0.37567889544082761</v>
      </c>
      <c r="E57" s="30">
        <f>K11/E16</f>
        <v>0.31759026817030322</v>
      </c>
      <c r="G57" s="33" t="s">
        <v>70</v>
      </c>
      <c r="H57" s="52">
        <f>H25/$B$5</f>
        <v>142.77555682467164</v>
      </c>
      <c r="I57" s="52">
        <f>I25/$B$5</f>
        <v>114.22044545973731</v>
      </c>
      <c r="J57" s="52">
        <f>J25/$B$5</f>
        <v>114.22044545973731</v>
      </c>
      <c r="K57" s="52">
        <f>K25/$B$5</f>
        <v>95.183704549781083</v>
      </c>
      <c r="M57" s="6"/>
    </row>
    <row r="58" spans="1:26">
      <c r="A58" s="29" t="s">
        <v>71</v>
      </c>
      <c r="B58" s="30">
        <f>B16/B20</f>
        <v>1.1251292054553055</v>
      </c>
      <c r="C58" s="30">
        <f>C16/C20</f>
        <v>1.2025181894421904</v>
      </c>
      <c r="D58" s="30">
        <f>D16/D20</f>
        <v>1.3144888904060239</v>
      </c>
      <c r="E58" s="30">
        <f>E16/E20</f>
        <v>1.4270520196902308</v>
      </c>
      <c r="G58" s="33" t="s">
        <v>97</v>
      </c>
      <c r="H58" s="39">
        <f>H22/$B$7/1000</f>
        <v>5.1179936507936512</v>
      </c>
      <c r="I58" s="39">
        <f>I22/$B$7/1000</f>
        <v>5.0916317460317462</v>
      </c>
      <c r="J58" s="39">
        <f>J22/$B$7/1000</f>
        <v>5.2145777777777775</v>
      </c>
      <c r="K58" s="39">
        <f>K22/$B$7/1000</f>
        <v>4.5744952380952384</v>
      </c>
      <c r="M58" s="6"/>
    </row>
    <row r="59" spans="1:26">
      <c r="G59" s="33" t="s">
        <v>98</v>
      </c>
      <c r="H59" s="64">
        <v>23.51</v>
      </c>
      <c r="I59" s="64">
        <v>22.41</v>
      </c>
      <c r="J59" s="64">
        <v>20.83</v>
      </c>
      <c r="K59" s="64">
        <v>20.96</v>
      </c>
      <c r="L59" s="65"/>
      <c r="M59" s="6"/>
    </row>
    <row r="60" spans="1:26">
      <c r="G60" s="33" t="s">
        <v>74</v>
      </c>
      <c r="H60" s="52">
        <f>SQRT(22.5*H58*H59)</f>
        <v>52.031631642958992</v>
      </c>
      <c r="I60" s="52">
        <f>SQRT(22.5*I58*I59)</f>
        <v>50.668807141503315</v>
      </c>
      <c r="J60" s="52">
        <f>SQRT(22.5*J58*J59)</f>
        <v>49.436244193911001</v>
      </c>
      <c r="K60" s="52">
        <f>SQRT(22.5*K58*K59)</f>
        <v>46.447087683575106</v>
      </c>
      <c r="M60" s="6"/>
    </row>
    <row r="61" spans="1:26">
      <c r="G61" s="33" t="s">
        <v>99</v>
      </c>
      <c r="H61" s="64">
        <v>6.41</v>
      </c>
      <c r="I61" s="64">
        <v>5.91</v>
      </c>
      <c r="J61" s="64">
        <v>5.13</v>
      </c>
      <c r="K61" s="64">
        <v>5.18</v>
      </c>
      <c r="M61" s="6"/>
    </row>
    <row r="62" spans="1:26">
      <c r="G62" s="2" t="s">
        <v>76</v>
      </c>
      <c r="H62" s="41">
        <f>H25/$B$7/1000</f>
        <v>5</v>
      </c>
      <c r="I62" s="41">
        <f>I25/$B$7/1000</f>
        <v>4</v>
      </c>
      <c r="J62" s="41">
        <f>J25/$B$7/1000</f>
        <v>4</v>
      </c>
      <c r="K62" s="41">
        <f>K25/$B$7/1000</f>
        <v>3.3333333333333335</v>
      </c>
      <c r="M62" s="6"/>
    </row>
    <row r="63" spans="1:26">
      <c r="A63" s="2"/>
      <c r="G63" s="33" t="s">
        <v>75</v>
      </c>
      <c r="H63" s="39">
        <f>H58-(B20*0.08/1000/$B$7)</f>
        <v>3.2368995555555564</v>
      </c>
      <c r="I63" s="39">
        <f>I58-(C20*0.08/1000/$B$7)</f>
        <v>3.2988596825396828</v>
      </c>
      <c r="J63" s="39">
        <f>J58-(D20*0.08/1000/$B$7)</f>
        <v>3.5480187936507939</v>
      </c>
      <c r="K63" s="39">
        <f>K58-(E20*0.08/1000/$B$7)</f>
        <v>2.8973183492063495</v>
      </c>
      <c r="M63" s="6"/>
    </row>
    <row r="64" spans="1:26">
      <c r="G64" s="2" t="s">
        <v>85</v>
      </c>
      <c r="H64" s="47">
        <f>SUM(H62:J62)</f>
        <v>13</v>
      </c>
      <c r="M64" s="6"/>
    </row>
    <row r="65" spans="7:13">
      <c r="G65" s="6"/>
      <c r="M65" s="6"/>
    </row>
    <row r="66" spans="7:13">
      <c r="G66" s="6"/>
      <c r="M66" s="6"/>
    </row>
    <row r="67" spans="7:13">
      <c r="G67" s="6"/>
      <c r="M67" s="6"/>
    </row>
    <row r="68" spans="7:13">
      <c r="G68" s="6"/>
      <c r="M68" s="6"/>
    </row>
    <row r="69" spans="7:13">
      <c r="G69" s="6"/>
      <c r="M69" s="6"/>
    </row>
    <row r="70" spans="7:13">
      <c r="G70" s="6"/>
      <c r="M70" s="6"/>
    </row>
    <row r="71" spans="7:13">
      <c r="G71" s="6"/>
      <c r="M71" s="6"/>
    </row>
    <row r="72" spans="7:13">
      <c r="G72" s="6"/>
      <c r="M72" s="6"/>
    </row>
    <row r="73" spans="7:13">
      <c r="G73" s="6"/>
      <c r="M73" s="6"/>
    </row>
    <row r="74" spans="7:13">
      <c r="G74" s="2" t="s">
        <v>86</v>
      </c>
      <c r="H74" s="6">
        <f>H59*$B$7/$B$5</f>
        <v>0.67133066818960607</v>
      </c>
      <c r="I74" s="6">
        <f>I59*$B$7/$B$5</f>
        <v>0.63992004568817817</v>
      </c>
      <c r="J74" s="6">
        <f>J59*$B$7/$B$5</f>
        <v>0.59480296973158198</v>
      </c>
      <c r="K74" s="6">
        <f>K59*$B$7/$B$5</f>
        <v>0.59851513420902347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0.14567548494871058</v>
      </c>
      <c r="I77" s="28">
        <f>(I15-I16)/$B$6</f>
        <v>0.14664820196676109</v>
      </c>
      <c r="J77" s="28">
        <f>(J15-J16)/$B$6</f>
        <v>0.15006843451587171</v>
      </c>
      <c r="K77" s="28">
        <f>(K15-K16)/$B$6</f>
        <v>0.13386673197122501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12" width="15.140625"/>
    <col min="13" max="13" width="24"/>
    <col min="14" max="26" width="15.140625"/>
    <col min="27" max="1025" width="14.42578125"/>
  </cols>
  <sheetData>
    <row r="1" spans="1:17">
      <c r="A1" s="2" t="s">
        <v>100</v>
      </c>
      <c r="C1" s="42" t="e">
        <f>HYPERLINK("http://www.tadawul.com.sa/wps/portal/!ut/p/c1/lYuxDoIwGAYf6f8oIGFUhlpsGrTQ0C6mAxiiFAejr2_dXNSYG--OHEWCv08nf5uW4C_Uk1sdFSpzEBkDT8oEYqf3ZcfWDHURvX3z0DkgMmnaSvIUwF83b0z-ujXTTZ1CsB-3HgKp7TIPZMkVH8tNTi1ZGSP7NbrOXf9Q4_kJk7XmQg!!/dl2/d1/L0lJWm1aaWdwUkEhIS9JRGhBQ"&amp;"0VvQURBVEtBQXdBS2dBTUJLb0FEQWhxQUF3QTRlR1NBQXdPL1lJNTBzbHl0d0EhIS83X04wQ1ZSSTQyMEcxOTEwSUtTUTlVMkEyMEI1L25ld19pbm5lcl9wYWdlLzE!/?symbol=3040&amp;tabOrder=7&amp;companyInfo_statement_type=4&amp;periodShow=0&amp;isXbrl=0","http://www.tadawul.com.sa/wps/portal/!ut/p/c1/lYuxDoIwGAYf6f8oIGFUhlpsGrTQ0C6mAxiiFAejr2_dXNSYG--OHEWCv08nf5uW4C_Uk1sdFSpzEBkDT8oEYqf3ZcfWDHURvX3z0DkgMmnaSvIUwF83b0z-ujXTTZ1CsB-3HgKp7TIPZMkVH8tNTi1ZGSP7NbrOXf9Q4_kJk7XmQg!!/dl2/d1/L0lJWm1aaWdwUkEhIS9JRGhBQ"&amp;"0VvQURBVEtBQXdBS2dBTUJLb0FEQWhxQUF3QTRlR1NBQXdPL1lJNTBzbHl0d0EhIS83X04wQ1ZSSTQyMEcxOTEwSUtTUTlVMkEyMEI1L25ld19pbm5lcl9wYWdlLzE!/?symbol=3040&amp;tabOrder=7&amp;companyInfo_statement_type=4&amp;periodShow=0&amp;isXbrl=0")</f>
        <v>#VALUE!</v>
      </c>
      <c r="M1" s="6"/>
    </row>
    <row r="2" spans="1:17">
      <c r="A2" s="2" t="s">
        <v>101</v>
      </c>
      <c r="C2" s="42" t="str">
        <f>HYPERLINK("http://content.argaam.com/bd9d5180-f1c0-4eb3-9211-37e6312b5b99.png","http://content.argaam.com/bd9d5180-f1c0-4eb3-9211-37e6312b5b99.png")</f>
        <v>http://content.argaam.com/bd9d5180-f1c0-4eb3-9211-37e6312b5b99.png</v>
      </c>
      <c r="M2" s="6"/>
    </row>
    <row r="3" spans="1:17">
      <c r="A3" s="2" t="s">
        <v>102</v>
      </c>
      <c r="M3" s="6"/>
    </row>
    <row r="4" spans="1:17">
      <c r="A4" s="2" t="s">
        <v>103</v>
      </c>
      <c r="M4" s="6"/>
    </row>
    <row r="5" spans="1:17">
      <c r="A5" s="2" t="s">
        <v>0</v>
      </c>
      <c r="B5" s="55">
        <v>5084.1000000000004</v>
      </c>
      <c r="M5" s="6"/>
    </row>
    <row r="6" spans="1:17">
      <c r="A6" s="2" t="s">
        <v>1</v>
      </c>
      <c r="B6" s="4">
        <f>B5*1000+(B22-B20)-N23</f>
        <v>5273904</v>
      </c>
      <c r="M6" s="6"/>
    </row>
    <row r="7" spans="1:17">
      <c r="A7" s="2" t="s">
        <v>2</v>
      </c>
      <c r="B7" s="66">
        <v>90</v>
      </c>
      <c r="M7" s="6"/>
    </row>
    <row r="8" spans="1:17">
      <c r="M8" s="6"/>
    </row>
    <row r="9" spans="1:17">
      <c r="M9" s="6"/>
    </row>
    <row r="10" spans="1:17">
      <c r="A10" s="20" t="s">
        <v>3</v>
      </c>
      <c r="B10" s="9">
        <v>42369</v>
      </c>
      <c r="C10" s="9">
        <v>42004</v>
      </c>
      <c r="D10" s="9">
        <v>41639</v>
      </c>
      <c r="E10" s="9">
        <v>41274</v>
      </c>
      <c r="G10" s="20" t="s">
        <v>4</v>
      </c>
      <c r="H10" s="9">
        <v>42369</v>
      </c>
      <c r="I10" s="9">
        <v>42004</v>
      </c>
      <c r="J10" s="9">
        <v>41639</v>
      </c>
      <c r="K10" s="9">
        <v>41274</v>
      </c>
      <c r="M10" s="20" t="s">
        <v>96</v>
      </c>
      <c r="N10" s="9">
        <v>42369</v>
      </c>
      <c r="O10" s="9">
        <v>42004</v>
      </c>
      <c r="P10" s="9">
        <v>41639</v>
      </c>
      <c r="Q10" s="9">
        <v>41274</v>
      </c>
    </row>
    <row r="11" spans="1:17">
      <c r="A11" s="23" t="s">
        <v>6</v>
      </c>
      <c r="B11" s="12">
        <v>927976</v>
      </c>
      <c r="C11" s="12">
        <v>918311</v>
      </c>
      <c r="D11" s="12">
        <v>886703</v>
      </c>
      <c r="E11" s="12">
        <v>791467</v>
      </c>
      <c r="G11" s="23" t="s">
        <v>7</v>
      </c>
      <c r="H11" s="12">
        <v>1023897</v>
      </c>
      <c r="I11" s="12">
        <v>985688</v>
      </c>
      <c r="J11" s="12">
        <v>1050609</v>
      </c>
      <c r="K11" s="12">
        <v>1047914</v>
      </c>
      <c r="M11" s="23" t="s">
        <v>8</v>
      </c>
      <c r="N11" s="12">
        <v>627435</v>
      </c>
      <c r="O11" s="12">
        <v>598674</v>
      </c>
      <c r="P11" s="12">
        <v>620652</v>
      </c>
      <c r="Q11" s="12">
        <v>560965</v>
      </c>
    </row>
    <row r="12" spans="1:17">
      <c r="A12" s="23" t="s">
        <v>9</v>
      </c>
      <c r="B12" s="12">
        <v>222099</v>
      </c>
      <c r="C12" s="12">
        <v>230213</v>
      </c>
      <c r="D12" s="12">
        <v>211405</v>
      </c>
      <c r="E12" s="12">
        <v>210980</v>
      </c>
      <c r="G12" s="23" t="s">
        <v>10</v>
      </c>
      <c r="H12" s="12">
        <v>394218</v>
      </c>
      <c r="I12" s="12">
        <v>370341</v>
      </c>
      <c r="J12" s="12">
        <v>406582</v>
      </c>
      <c r="K12" s="12">
        <v>433986</v>
      </c>
      <c r="M12" s="23" t="s">
        <v>11</v>
      </c>
      <c r="N12" s="12">
        <v>76233</v>
      </c>
      <c r="O12" s="12">
        <v>83545</v>
      </c>
      <c r="P12" s="12">
        <v>86385</v>
      </c>
      <c r="Q12" s="12">
        <v>86287</v>
      </c>
    </row>
    <row r="13" spans="1:17">
      <c r="A13" s="23" t="s">
        <v>12</v>
      </c>
      <c r="B13" s="45"/>
      <c r="C13" s="45"/>
      <c r="D13" s="45"/>
      <c r="E13" s="45">
        <v>0</v>
      </c>
      <c r="G13" s="23" t="s">
        <v>13</v>
      </c>
      <c r="H13" s="12">
        <v>629679</v>
      </c>
      <c r="I13" s="12">
        <v>615347</v>
      </c>
      <c r="J13" s="12">
        <v>644027</v>
      </c>
      <c r="K13" s="12">
        <v>613928</v>
      </c>
      <c r="M13" s="23" t="s">
        <v>14</v>
      </c>
      <c r="N13" s="14">
        <v>-22568</v>
      </c>
      <c r="O13" s="14">
        <v>-9473</v>
      </c>
      <c r="P13" s="12">
        <v>5861</v>
      </c>
      <c r="Q13" s="12">
        <v>3539</v>
      </c>
    </row>
    <row r="14" spans="1:17">
      <c r="A14" s="23" t="s">
        <v>15</v>
      </c>
      <c r="B14" s="12">
        <v>900971</v>
      </c>
      <c r="C14" s="12">
        <v>986109</v>
      </c>
      <c r="D14" s="12">
        <v>1052178</v>
      </c>
      <c r="E14" s="12">
        <v>1103664</v>
      </c>
      <c r="G14" s="23" t="s">
        <v>16</v>
      </c>
      <c r="H14" s="12">
        <v>26046</v>
      </c>
      <c r="I14" s="12">
        <v>23149</v>
      </c>
      <c r="J14" s="12">
        <v>14378</v>
      </c>
      <c r="K14" s="12">
        <v>13168</v>
      </c>
      <c r="M14" s="23" t="s">
        <v>9</v>
      </c>
      <c r="N14" s="12">
        <v>3330</v>
      </c>
      <c r="O14" s="14">
        <v>-18801</v>
      </c>
      <c r="P14" s="14">
        <v>-847</v>
      </c>
      <c r="Q14" s="14">
        <v>-23398</v>
      </c>
    </row>
    <row r="15" spans="1:17">
      <c r="A15" s="23" t="s">
        <v>17</v>
      </c>
      <c r="B15" s="12">
        <v>62161</v>
      </c>
      <c r="C15" s="12">
        <v>48199</v>
      </c>
      <c r="D15" s="12">
        <v>42985</v>
      </c>
      <c r="E15" s="12">
        <v>50932</v>
      </c>
      <c r="G15" s="23" t="s">
        <v>18</v>
      </c>
      <c r="H15" s="12">
        <v>655725</v>
      </c>
      <c r="I15" s="12">
        <v>638496</v>
      </c>
      <c r="J15" s="12">
        <v>658405</v>
      </c>
      <c r="K15" s="12">
        <v>627096</v>
      </c>
      <c r="M15" s="23" t="s">
        <v>19</v>
      </c>
      <c r="N15" s="17"/>
      <c r="O15" s="45"/>
      <c r="P15" s="45"/>
      <c r="Q15" s="45">
        <v>0</v>
      </c>
    </row>
    <row r="16" spans="1:17">
      <c r="A16" s="23" t="s">
        <v>20</v>
      </c>
      <c r="B16" s="12">
        <v>2113207</v>
      </c>
      <c r="C16" s="12">
        <v>2182832</v>
      </c>
      <c r="D16" s="12">
        <v>2193271</v>
      </c>
      <c r="E16" s="12">
        <v>2157043</v>
      </c>
      <c r="G16" s="23" t="s">
        <v>21</v>
      </c>
      <c r="H16" s="12">
        <v>28290</v>
      </c>
      <c r="I16" s="12">
        <v>39822</v>
      </c>
      <c r="J16" s="12">
        <v>37754</v>
      </c>
      <c r="K16" s="12">
        <v>34185</v>
      </c>
      <c r="M16" s="23" t="s">
        <v>22</v>
      </c>
      <c r="N16" s="12">
        <v>6416</v>
      </c>
      <c r="O16" s="12">
        <v>1196</v>
      </c>
      <c r="P16" s="12">
        <v>5176</v>
      </c>
      <c r="Q16" s="12">
        <v>1317</v>
      </c>
    </row>
    <row r="17" spans="1:26">
      <c r="A17" s="23" t="s">
        <v>23</v>
      </c>
      <c r="B17" s="12">
        <v>197166</v>
      </c>
      <c r="C17" s="12">
        <v>178582</v>
      </c>
      <c r="D17" s="12">
        <v>169175</v>
      </c>
      <c r="E17" s="12">
        <v>155990</v>
      </c>
      <c r="G17" s="23" t="s">
        <v>11</v>
      </c>
      <c r="H17" s="17"/>
      <c r="I17" s="17"/>
      <c r="J17" s="17"/>
      <c r="K17" s="17">
        <v>0</v>
      </c>
      <c r="M17" s="23" t="s">
        <v>24</v>
      </c>
      <c r="N17" s="14">
        <v>-35067</v>
      </c>
      <c r="O17" s="14">
        <v>-43127</v>
      </c>
      <c r="P17" s="14">
        <v>-35176</v>
      </c>
      <c r="Q17" s="14">
        <v>-84622</v>
      </c>
    </row>
    <row r="18" spans="1:26">
      <c r="A18" s="23" t="s">
        <v>25</v>
      </c>
      <c r="B18" s="45"/>
      <c r="C18" s="45"/>
      <c r="D18" s="45"/>
      <c r="E18" s="17">
        <v>0</v>
      </c>
      <c r="G18" s="23" t="s">
        <v>26</v>
      </c>
      <c r="H18" s="17"/>
      <c r="I18" s="17"/>
      <c r="J18" s="17"/>
      <c r="K18" s="17">
        <v>0</v>
      </c>
      <c r="M18" s="23" t="s">
        <v>27</v>
      </c>
      <c r="N18" s="14">
        <v>-40845</v>
      </c>
      <c r="O18" s="14">
        <v>-25742</v>
      </c>
      <c r="P18" s="14">
        <v>-29956</v>
      </c>
      <c r="Q18" s="14">
        <v>-8811</v>
      </c>
    </row>
    <row r="19" spans="1:26">
      <c r="A19" s="23" t="s">
        <v>28</v>
      </c>
      <c r="B19" s="12">
        <v>32452</v>
      </c>
      <c r="C19" s="12">
        <v>30296</v>
      </c>
      <c r="D19" s="12">
        <v>28258</v>
      </c>
      <c r="E19" s="12">
        <v>26129</v>
      </c>
      <c r="G19" s="23" t="s">
        <v>29</v>
      </c>
      <c r="H19" s="12">
        <v>28290</v>
      </c>
      <c r="I19" s="12">
        <v>39822</v>
      </c>
      <c r="J19" s="12">
        <v>37754</v>
      </c>
      <c r="K19" s="12">
        <v>34185</v>
      </c>
      <c r="M19" s="23" t="s">
        <v>30</v>
      </c>
      <c r="N19" s="12">
        <v>86177</v>
      </c>
      <c r="O19" s="14">
        <v>-159776</v>
      </c>
      <c r="P19" s="12">
        <v>93606</v>
      </c>
      <c r="Q19" s="14">
        <v>-211357</v>
      </c>
    </row>
    <row r="20" spans="1:26">
      <c r="A20" s="23" t="s">
        <v>31</v>
      </c>
      <c r="B20" s="12">
        <v>1883589</v>
      </c>
      <c r="C20" s="12">
        <v>1973954</v>
      </c>
      <c r="D20" s="12">
        <v>1997144</v>
      </c>
      <c r="E20" s="12">
        <v>1974924</v>
      </c>
      <c r="G20" s="23" t="s">
        <v>32</v>
      </c>
      <c r="H20" s="12">
        <v>627435</v>
      </c>
      <c r="I20" s="12">
        <v>598674</v>
      </c>
      <c r="J20" s="12">
        <v>620651</v>
      </c>
      <c r="K20" s="12">
        <v>592911</v>
      </c>
      <c r="M20" s="23" t="s">
        <v>33</v>
      </c>
      <c r="N20" s="17"/>
      <c r="O20" s="17"/>
      <c r="P20" s="17"/>
      <c r="Q20" s="17"/>
    </row>
    <row r="21" spans="1:26">
      <c r="A21" s="23" t="s">
        <v>34</v>
      </c>
      <c r="B21" s="17"/>
      <c r="C21" s="17"/>
      <c r="D21" s="14">
        <v>-1306</v>
      </c>
      <c r="E21" s="17"/>
      <c r="G21" s="23" t="s">
        <v>35</v>
      </c>
      <c r="H21" s="12">
        <v>41000</v>
      </c>
      <c r="I21" s="12">
        <v>35064</v>
      </c>
      <c r="J21" s="12">
        <v>35646</v>
      </c>
      <c r="K21" s="12">
        <v>31946</v>
      </c>
      <c r="M21" s="23" t="s">
        <v>36</v>
      </c>
      <c r="N21" s="14">
        <v>-684331</v>
      </c>
      <c r="O21" s="14">
        <v>-573070</v>
      </c>
      <c r="P21" s="14">
        <v>-605148</v>
      </c>
      <c r="Q21" s="14">
        <v>-536802</v>
      </c>
    </row>
    <row r="22" spans="1:26">
      <c r="A22" s="23" t="s">
        <v>37</v>
      </c>
      <c r="B22" s="12">
        <v>2113207</v>
      </c>
      <c r="C22" s="12">
        <v>2182832</v>
      </c>
      <c r="D22" s="12">
        <v>2193271</v>
      </c>
      <c r="E22" s="12">
        <v>2157043</v>
      </c>
      <c r="G22" s="23" t="s">
        <v>8</v>
      </c>
      <c r="H22" s="12">
        <v>586435</v>
      </c>
      <c r="I22" s="12">
        <v>563610</v>
      </c>
      <c r="J22" s="12">
        <v>585005</v>
      </c>
      <c r="K22" s="12">
        <v>560965</v>
      </c>
      <c r="M22" s="23" t="s">
        <v>38</v>
      </c>
      <c r="N22" s="12">
        <v>23034</v>
      </c>
      <c r="O22" s="12">
        <v>172396</v>
      </c>
      <c r="P22" s="12">
        <v>31843</v>
      </c>
      <c r="Q22" s="12">
        <v>244725</v>
      </c>
    </row>
    <row r="23" spans="1:26">
      <c r="G23" s="23" t="s">
        <v>39</v>
      </c>
      <c r="H23" s="12">
        <v>290650</v>
      </c>
      <c r="I23" s="12">
        <v>565984</v>
      </c>
      <c r="J23" s="12">
        <v>453580</v>
      </c>
      <c r="K23" s="12">
        <v>490394</v>
      </c>
      <c r="M23" s="23" t="s">
        <v>40</v>
      </c>
      <c r="N23" s="12">
        <v>39814</v>
      </c>
      <c r="O23" s="12">
        <v>25822</v>
      </c>
      <c r="P23" s="12">
        <v>172396</v>
      </c>
      <c r="Q23" s="12">
        <v>31843</v>
      </c>
    </row>
    <row r="24" spans="1:26">
      <c r="G24" s="23" t="s">
        <v>41</v>
      </c>
      <c r="H24" s="12">
        <v>58644</v>
      </c>
      <c r="I24" s="12">
        <v>56361</v>
      </c>
      <c r="J24" s="12">
        <v>58501</v>
      </c>
      <c r="K24" s="12">
        <v>56096</v>
      </c>
      <c r="M24" s="2" t="s">
        <v>42</v>
      </c>
      <c r="N24" s="12">
        <f>SUM(N11:N17)</f>
        <v>655779</v>
      </c>
      <c r="O24" s="12">
        <f>SUM(O11:O17)</f>
        <v>612014</v>
      </c>
      <c r="P24" s="12">
        <f>SUM(P11:P17)</f>
        <v>682051</v>
      </c>
      <c r="Q24" s="12">
        <f>SUM(Q11:Q17)</f>
        <v>544088</v>
      </c>
    </row>
    <row r="25" spans="1:26">
      <c r="G25" s="23" t="s">
        <v>43</v>
      </c>
      <c r="H25" s="12">
        <v>562500</v>
      </c>
      <c r="I25" s="12">
        <v>585000</v>
      </c>
      <c r="J25" s="12">
        <v>562500</v>
      </c>
      <c r="K25" s="12">
        <v>540000</v>
      </c>
      <c r="M25" s="2" t="s">
        <v>44</v>
      </c>
      <c r="N25" s="12">
        <f>N18+N19</f>
        <v>45332</v>
      </c>
      <c r="O25" s="12">
        <f>O18+O19</f>
        <v>-185518</v>
      </c>
      <c r="P25" s="12">
        <f>P18+P19</f>
        <v>63650</v>
      </c>
      <c r="Q25" s="12">
        <f>Q18+Q19</f>
        <v>-220168</v>
      </c>
    </row>
    <row r="26" spans="1:26">
      <c r="G26" s="23" t="s">
        <v>45</v>
      </c>
      <c r="H26" s="12">
        <v>1800</v>
      </c>
      <c r="I26" s="12">
        <v>224216</v>
      </c>
      <c r="J26" s="12">
        <v>148400</v>
      </c>
      <c r="K26" s="12">
        <v>1683</v>
      </c>
      <c r="M26" s="2" t="s">
        <v>46</v>
      </c>
      <c r="N26" s="12">
        <f>N20+N21</f>
        <v>-684331</v>
      </c>
      <c r="O26" s="12">
        <f>O20+O21</f>
        <v>-573070</v>
      </c>
      <c r="P26" s="12">
        <f>P20+P21</f>
        <v>-605148</v>
      </c>
      <c r="Q26" s="12">
        <f>Q20+Q21</f>
        <v>-536802</v>
      </c>
    </row>
    <row r="27" spans="1:26">
      <c r="G27" s="23" t="s">
        <v>47</v>
      </c>
      <c r="H27" s="12">
        <v>254141</v>
      </c>
      <c r="I27" s="12">
        <v>712449</v>
      </c>
      <c r="J27" s="12">
        <v>565984</v>
      </c>
      <c r="K27" s="12">
        <v>453580</v>
      </c>
      <c r="M27" s="2" t="s">
        <v>48</v>
      </c>
      <c r="N27" s="12">
        <f>N24+N25+N26</f>
        <v>16780</v>
      </c>
      <c r="O27" s="12">
        <f>O24+O25+O26</f>
        <v>-146574</v>
      </c>
      <c r="P27" s="12">
        <f>P24+P25+P26</f>
        <v>140553</v>
      </c>
      <c r="Q27" s="12">
        <f>Q24+Q25+Q26</f>
        <v>-212882</v>
      </c>
    </row>
    <row r="28" spans="1:26"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0.43913161370372139</v>
      </c>
      <c r="C30" s="24">
        <f t="shared" si="0"/>
        <v>0.42069705776715755</v>
      </c>
      <c r="D30" s="24">
        <f t="shared" si="0"/>
        <v>0.40428337401078118</v>
      </c>
      <c r="E30" s="24">
        <f t="shared" si="0"/>
        <v>0.36692221712779949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0.61279113035783872</v>
      </c>
      <c r="O30" s="26">
        <f t="shared" ref="O30:O42" si="3">O11/I$11</f>
        <v>0.60736663122610801</v>
      </c>
      <c r="P30" s="26">
        <f t="shared" ref="P30:P42" si="4">P11/J$11</f>
        <v>0.59075450524410122</v>
      </c>
      <c r="Q30" s="26">
        <f t="shared" ref="Q30:Q42" si="5">Q11/K$11</f>
        <v>0.53531587515769419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0.1051004468563657</v>
      </c>
      <c r="C31" s="24">
        <f t="shared" si="0"/>
        <v>0.10546528546402105</v>
      </c>
      <c r="D31" s="24">
        <f t="shared" si="0"/>
        <v>9.6387997652820828E-2</v>
      </c>
      <c r="E31" s="24">
        <f t="shared" si="0"/>
        <v>9.7809825766106653E-2</v>
      </c>
      <c r="F31" s="6"/>
      <c r="G31" s="25" t="s">
        <v>10</v>
      </c>
      <c r="H31" s="24">
        <f t="shared" si="1"/>
        <v>0.38501724294533535</v>
      </c>
      <c r="I31" s="24">
        <f t="shared" si="1"/>
        <v>0.37571828002369917</v>
      </c>
      <c r="J31" s="24">
        <f t="shared" si="1"/>
        <v>0.38699649441419215</v>
      </c>
      <c r="K31" s="24">
        <f t="shared" si="1"/>
        <v>0.41414276362373248</v>
      </c>
      <c r="L31" s="6"/>
      <c r="M31" s="25" t="s">
        <v>11</v>
      </c>
      <c r="N31" s="26">
        <f t="shared" si="2"/>
        <v>7.4453778065567147E-2</v>
      </c>
      <c r="O31" s="26">
        <f t="shared" si="3"/>
        <v>8.4758057316311045E-2</v>
      </c>
      <c r="P31" s="26">
        <f t="shared" si="4"/>
        <v>8.2223738802922872E-2</v>
      </c>
      <c r="Q31" s="26">
        <f t="shared" si="5"/>
        <v>8.2341680710439985E-2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</v>
      </c>
      <c r="C32" s="24">
        <f t="shared" si="0"/>
        <v>0</v>
      </c>
      <c r="D32" s="24">
        <f t="shared" si="0"/>
        <v>0</v>
      </c>
      <c r="E32" s="24">
        <f t="shared" si="0"/>
        <v>0</v>
      </c>
      <c r="F32" s="6"/>
      <c r="G32" s="25" t="s">
        <v>13</v>
      </c>
      <c r="H32" s="24">
        <f t="shared" si="1"/>
        <v>0.61498275705466465</v>
      </c>
      <c r="I32" s="24">
        <f t="shared" si="1"/>
        <v>0.62428171997630078</v>
      </c>
      <c r="J32" s="24">
        <f t="shared" si="1"/>
        <v>0.61300350558580785</v>
      </c>
      <c r="K32" s="24">
        <f t="shared" si="1"/>
        <v>0.58585723637626752</v>
      </c>
      <c r="L32" s="6"/>
      <c r="M32" s="25" t="s">
        <v>14</v>
      </c>
      <c r="N32" s="26">
        <f t="shared" si="2"/>
        <v>-2.2041279542766509E-2</v>
      </c>
      <c r="O32" s="26">
        <f t="shared" si="3"/>
        <v>-9.6105461363027653E-3</v>
      </c>
      <c r="P32" s="26">
        <f t="shared" si="4"/>
        <v>5.5786691338071534E-3</v>
      </c>
      <c r="Q32" s="26">
        <f t="shared" si="5"/>
        <v>3.3771855324005594E-3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0.42635245860911875</v>
      </c>
      <c r="C33" s="24">
        <f t="shared" si="0"/>
        <v>0.45175670871601664</v>
      </c>
      <c r="D33" s="24">
        <f t="shared" si="0"/>
        <v>0.47973004703933075</v>
      </c>
      <c r="E33" s="24">
        <f t="shared" si="0"/>
        <v>0.51165600314875503</v>
      </c>
      <c r="F33" s="6"/>
      <c r="G33" s="25" t="s">
        <v>16</v>
      </c>
      <c r="H33" s="24">
        <f t="shared" si="1"/>
        <v>2.5438105590699065E-2</v>
      </c>
      <c r="I33" s="24">
        <f t="shared" si="1"/>
        <v>2.3485119023463813E-2</v>
      </c>
      <c r="J33" s="24">
        <f t="shared" si="1"/>
        <v>1.3685395803767148E-2</v>
      </c>
      <c r="K33" s="24">
        <f t="shared" si="1"/>
        <v>1.2565916668734266E-2</v>
      </c>
      <c r="L33" s="6"/>
      <c r="M33" s="25" t="s">
        <v>9</v>
      </c>
      <c r="N33" s="26">
        <f t="shared" si="2"/>
        <v>3.2522802586588298E-3</v>
      </c>
      <c r="O33" s="26">
        <f t="shared" si="3"/>
        <v>-1.9073986900520246E-2</v>
      </c>
      <c r="P33" s="26">
        <f t="shared" si="4"/>
        <v>-8.0619907120536751E-4</v>
      </c>
      <c r="Q33" s="26">
        <f t="shared" si="5"/>
        <v>-2.2328168151203247E-2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2.9415480830794143E-2</v>
      </c>
      <c r="C34" s="24">
        <f t="shared" si="0"/>
        <v>2.2080948052804798E-2</v>
      </c>
      <c r="D34" s="24">
        <f t="shared" si="0"/>
        <v>1.9598581297067257E-2</v>
      </c>
      <c r="E34" s="24">
        <f t="shared" si="0"/>
        <v>2.3611953957338821E-2</v>
      </c>
      <c r="F34" s="6"/>
      <c r="G34" s="25" t="s">
        <v>18</v>
      </c>
      <c r="H34" s="24">
        <f t="shared" si="1"/>
        <v>0.6404208626453638</v>
      </c>
      <c r="I34" s="24">
        <f t="shared" si="1"/>
        <v>0.64776683899976462</v>
      </c>
      <c r="J34" s="24">
        <f t="shared" si="1"/>
        <v>0.626688901389575</v>
      </c>
      <c r="K34" s="24">
        <f t="shared" si="1"/>
        <v>0.59842315304500182</v>
      </c>
      <c r="L34" s="6"/>
      <c r="M34" s="25" t="s">
        <v>19</v>
      </c>
      <c r="N34" s="26">
        <f t="shared" si="2"/>
        <v>0</v>
      </c>
      <c r="O34" s="26">
        <f t="shared" si="3"/>
        <v>0</v>
      </c>
      <c r="P34" s="26">
        <f t="shared" si="4"/>
        <v>0</v>
      </c>
      <c r="Q34" s="26">
        <f t="shared" si="5"/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2.7629732287525015E-2</v>
      </c>
      <c r="I35" s="24">
        <f t="shared" si="1"/>
        <v>4.040020777365657E-2</v>
      </c>
      <c r="J35" s="24">
        <f t="shared" si="1"/>
        <v>3.5935347974365345E-2</v>
      </c>
      <c r="K35" s="24">
        <f t="shared" si="1"/>
        <v>3.2621951801388285E-2</v>
      </c>
      <c r="L35" s="6"/>
      <c r="M35" s="25" t="s">
        <v>22</v>
      </c>
      <c r="N35" s="26">
        <f t="shared" si="2"/>
        <v>6.2662552971636792E-3</v>
      </c>
      <c r="O35" s="26">
        <f t="shared" si="3"/>
        <v>1.2133656897517268E-3</v>
      </c>
      <c r="P35" s="26">
        <f t="shared" si="4"/>
        <v>4.9266663430448431E-3</v>
      </c>
      <c r="Q35" s="26">
        <f t="shared" si="5"/>
        <v>1.2567825222298777E-3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9.3301792015642579E-2</v>
      </c>
      <c r="C36" s="24">
        <f t="shared" si="0"/>
        <v>8.1812067992406201E-2</v>
      </c>
      <c r="D36" s="24">
        <f t="shared" si="0"/>
        <v>7.7133651062727765E-2</v>
      </c>
      <c r="E36" s="24">
        <f t="shared" si="0"/>
        <v>7.2316592668759963E-2</v>
      </c>
      <c r="F36" s="6"/>
      <c r="G36" s="25" t="s">
        <v>11</v>
      </c>
      <c r="H36" s="24">
        <f t="shared" si="1"/>
        <v>0</v>
      </c>
      <c r="I36" s="24">
        <f t="shared" si="1"/>
        <v>0</v>
      </c>
      <c r="J36" s="24">
        <f t="shared" si="1"/>
        <v>0</v>
      </c>
      <c r="K36" s="24">
        <f t="shared" si="1"/>
        <v>0</v>
      </c>
      <c r="L36" s="6"/>
      <c r="M36" s="25" t="s">
        <v>24</v>
      </c>
      <c r="N36" s="26">
        <f t="shared" si="2"/>
        <v>-3.4248562111227981E-2</v>
      </c>
      <c r="O36" s="26">
        <f t="shared" si="3"/>
        <v>-4.3753195737393578E-2</v>
      </c>
      <c r="P36" s="26">
        <f t="shared" si="4"/>
        <v>-3.3481533091759164E-2</v>
      </c>
      <c r="Q36" s="26">
        <f t="shared" si="5"/>
        <v>-8.0752809867985345E-2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</v>
      </c>
      <c r="C37" s="24">
        <f t="shared" si="0"/>
        <v>0</v>
      </c>
      <c r="D37" s="24">
        <f t="shared" si="0"/>
        <v>0</v>
      </c>
      <c r="E37" s="24">
        <f t="shared" si="0"/>
        <v>0</v>
      </c>
      <c r="F37" s="6"/>
      <c r="G37" s="25" t="s">
        <v>26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6"/>
      <c r="M37" s="25" t="s">
        <v>27</v>
      </c>
      <c r="N37" s="26">
        <f t="shared" si="2"/>
        <v>-3.9891707857333307E-2</v>
      </c>
      <c r="O37" s="26">
        <f t="shared" si="3"/>
        <v>-2.6115768884271695E-2</v>
      </c>
      <c r="P37" s="26">
        <f t="shared" si="4"/>
        <v>-2.8512986277482871E-2</v>
      </c>
      <c r="Q37" s="26">
        <f t="shared" si="5"/>
        <v>-8.4081327284490897E-3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1.535675397630237E-2</v>
      </c>
      <c r="C38" s="24">
        <f t="shared" si="0"/>
        <v>1.3879217456955001E-2</v>
      </c>
      <c r="D38" s="24">
        <f t="shared" si="0"/>
        <v>1.2883952781028883E-2</v>
      </c>
      <c r="E38" s="24">
        <f t="shared" si="0"/>
        <v>1.2113342200410469E-2</v>
      </c>
      <c r="F38" s="6"/>
      <c r="G38" s="25" t="s">
        <v>29</v>
      </c>
      <c r="H38" s="24">
        <f t="shared" si="1"/>
        <v>2.7629732287525015E-2</v>
      </c>
      <c r="I38" s="24">
        <f t="shared" si="1"/>
        <v>4.040020777365657E-2</v>
      </c>
      <c r="J38" s="24">
        <f t="shared" si="1"/>
        <v>3.5935347974365345E-2</v>
      </c>
      <c r="K38" s="24">
        <f t="shared" si="1"/>
        <v>3.2621951801388285E-2</v>
      </c>
      <c r="L38" s="6"/>
      <c r="M38" s="25" t="s">
        <v>30</v>
      </c>
      <c r="N38" s="26">
        <f t="shared" si="2"/>
        <v>8.4165692447580182E-2</v>
      </c>
      <c r="O38" s="26">
        <f t="shared" si="3"/>
        <v>-0.16209591676067883</v>
      </c>
      <c r="P38" s="26">
        <f t="shared" si="4"/>
        <v>8.9096895229338419E-2</v>
      </c>
      <c r="Q38" s="26">
        <f t="shared" si="5"/>
        <v>-0.20169307786707688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0.89134145400805509</v>
      </c>
      <c r="C39" s="24">
        <f t="shared" si="0"/>
        <v>0.90430871455063877</v>
      </c>
      <c r="D39" s="24">
        <f t="shared" si="0"/>
        <v>0.91057785380830736</v>
      </c>
      <c r="E39" s="24">
        <f t="shared" si="0"/>
        <v>0.91557006513082961</v>
      </c>
      <c r="F39" s="6"/>
      <c r="G39" s="25" t="s">
        <v>32</v>
      </c>
      <c r="H39" s="24">
        <f t="shared" si="1"/>
        <v>0.61279113035783872</v>
      </c>
      <c r="I39" s="24">
        <f t="shared" si="1"/>
        <v>0.60736663122610801</v>
      </c>
      <c r="J39" s="24">
        <f t="shared" si="1"/>
        <v>0.59075355341520963</v>
      </c>
      <c r="K39" s="24">
        <f t="shared" si="1"/>
        <v>0.56580120124361355</v>
      </c>
      <c r="L39" s="6"/>
      <c r="M39" s="25" t="s">
        <v>33</v>
      </c>
      <c r="N39" s="26">
        <f t="shared" si="2"/>
        <v>0</v>
      </c>
      <c r="O39" s="26">
        <f t="shared" si="3"/>
        <v>0</v>
      </c>
      <c r="P39" s="26">
        <f t="shared" si="4"/>
        <v>0</v>
      </c>
      <c r="Q39" s="26">
        <f t="shared" si="5"/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-5.9545765206397202E-4</v>
      </c>
      <c r="E40" s="24">
        <f t="shared" si="0"/>
        <v>0</v>
      </c>
      <c r="F40" s="6"/>
      <c r="G40" s="25" t="s">
        <v>35</v>
      </c>
      <c r="H40" s="24">
        <f t="shared" si="1"/>
        <v>4.0043090271775383E-2</v>
      </c>
      <c r="I40" s="24">
        <f t="shared" si="1"/>
        <v>3.5573122529644272E-2</v>
      </c>
      <c r="J40" s="24">
        <f t="shared" si="1"/>
        <v>3.3928892670822351E-2</v>
      </c>
      <c r="K40" s="24">
        <f t="shared" si="1"/>
        <v>3.0485326085919265E-2</v>
      </c>
      <c r="L40" s="6"/>
      <c r="M40" s="25" t="s">
        <v>36</v>
      </c>
      <c r="N40" s="26">
        <f t="shared" si="2"/>
        <v>-0.66835921972620294</v>
      </c>
      <c r="O40" s="26">
        <f t="shared" si="3"/>
        <v>-0.58139086607526924</v>
      </c>
      <c r="P40" s="26">
        <f t="shared" si="4"/>
        <v>-0.57599735010836572</v>
      </c>
      <c r="Q40" s="26">
        <f t="shared" si="5"/>
        <v>-0.51225768526806592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0.57274804008606339</v>
      </c>
      <c r="I41" s="24">
        <f t="shared" si="1"/>
        <v>0.57179350869646384</v>
      </c>
      <c r="J41" s="24">
        <f t="shared" si="1"/>
        <v>0.5568246607443873</v>
      </c>
      <c r="K41" s="24">
        <f t="shared" si="1"/>
        <v>0.53531587515769419</v>
      </c>
      <c r="L41" s="6"/>
      <c r="M41" s="25" t="s">
        <v>38</v>
      </c>
      <c r="N41" s="26">
        <f t="shared" si="2"/>
        <v>2.2496403446831077E-2</v>
      </c>
      <c r="O41" s="26">
        <f t="shared" si="3"/>
        <v>0.17489915673113601</v>
      </c>
      <c r="P41" s="26">
        <f t="shared" si="4"/>
        <v>3.0309087395977E-2</v>
      </c>
      <c r="Q41" s="26">
        <f t="shared" si="5"/>
        <v>0.23353538553736281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0.28386644359735402</v>
      </c>
      <c r="I42" s="24">
        <f t="shared" si="1"/>
        <v>0.57420197871943257</v>
      </c>
      <c r="J42" s="24">
        <f t="shared" si="1"/>
        <v>0.43173054866272798</v>
      </c>
      <c r="K42" s="24">
        <f t="shared" si="1"/>
        <v>0.46797160835717433</v>
      </c>
      <c r="L42" s="6"/>
      <c r="M42" s="25" t="s">
        <v>40</v>
      </c>
      <c r="N42" s="26">
        <f t="shared" si="2"/>
        <v>3.8884770636108908E-2</v>
      </c>
      <c r="O42" s="26">
        <f t="shared" si="3"/>
        <v>2.6196930468870474E-2</v>
      </c>
      <c r="P42" s="26">
        <f t="shared" si="4"/>
        <v>0.16409149360037845</v>
      </c>
      <c r="Q42" s="26">
        <f t="shared" si="5"/>
        <v>3.0387035577346996E-2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5.7275292338975506E-2</v>
      </c>
      <c r="I43" s="24">
        <f t="shared" si="1"/>
        <v>5.717935086964638E-2</v>
      </c>
      <c r="J43" s="24">
        <f t="shared" si="1"/>
        <v>5.5682941988884543E-2</v>
      </c>
      <c r="K43" s="24">
        <f t="shared" si="1"/>
        <v>5.3531110377378295E-2</v>
      </c>
      <c r="L43" s="6"/>
      <c r="M43" s="2" t="s">
        <v>49</v>
      </c>
      <c r="N43" s="26">
        <f>N24/H11</f>
        <v>0.64047360232523387</v>
      </c>
      <c r="O43" s="26">
        <f>O24/I11</f>
        <v>0.62090032545795426</v>
      </c>
      <c r="P43" s="26">
        <f>P24/J11</f>
        <v>0.64919584736091163</v>
      </c>
      <c r="Q43" s="26">
        <f>Q24/K11</f>
        <v>0.51921054590357607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0.54937166531399151</v>
      </c>
      <c r="I44" s="24">
        <f t="shared" si="1"/>
        <v>0.59349408737856202</v>
      </c>
      <c r="J44" s="24">
        <f t="shared" si="1"/>
        <v>0.53540375153839348</v>
      </c>
      <c r="K44" s="24">
        <f t="shared" si="1"/>
        <v>0.51530946241771747</v>
      </c>
      <c r="L44" s="6"/>
      <c r="M44" s="2" t="s">
        <v>50</v>
      </c>
      <c r="N44" s="26">
        <f>N24/B16</f>
        <v>0.31032407142319707</v>
      </c>
      <c r="O44" s="26">
        <f>O24/C16</f>
        <v>0.28037613522249993</v>
      </c>
      <c r="P44" s="26">
        <f>P24/D16</f>
        <v>0.31097433924034013</v>
      </c>
      <c r="Q44" s="26">
        <f>Q24/E16</f>
        <v>0.25223790160882281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1.757989329004773E-3</v>
      </c>
      <c r="I45" s="24">
        <f t="shared" si="1"/>
        <v>0.22747157315499428</v>
      </c>
      <c r="J45" s="24">
        <f t="shared" si="1"/>
        <v>0.14125140751697349</v>
      </c>
      <c r="K45" s="24">
        <f t="shared" si="1"/>
        <v>1.6060478245352194E-3</v>
      </c>
      <c r="L45" s="6"/>
      <c r="M45" s="2" t="s">
        <v>51</v>
      </c>
      <c r="N45" s="26">
        <f>N24/B20</f>
        <v>0.34815397626552291</v>
      </c>
      <c r="O45" s="26">
        <f>O24/C20</f>
        <v>0.3100447122881283</v>
      </c>
      <c r="P45" s="26">
        <f>P24/D20</f>
        <v>0.3415131808222141</v>
      </c>
      <c r="Q45" s="26">
        <f>Q24/E20</f>
        <v>0.27549819638629131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0.24820953670144555</v>
      </c>
      <c r="I46" s="24">
        <f t="shared" si="1"/>
        <v>0.72279362232268218</v>
      </c>
      <c r="J46" s="24">
        <f t="shared" si="1"/>
        <v>0.53871992339681085</v>
      </c>
      <c r="K46" s="24">
        <f t="shared" si="1"/>
        <v>0.4328408628952376</v>
      </c>
      <c r="L46" s="6"/>
      <c r="M46" s="2" t="s">
        <v>52</v>
      </c>
      <c r="N46" s="26">
        <f>N24/H22</f>
        <v>1.1182466940070084</v>
      </c>
      <c r="O46" s="26">
        <f>O24/I22</f>
        <v>1.0858820815812353</v>
      </c>
      <c r="P46" s="26">
        <f>P24/J22</f>
        <v>1.1658891804343552</v>
      </c>
      <c r="Q46" s="26">
        <f>Q24/K22</f>
        <v>0.96991434403215881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2.8559564145668022</v>
      </c>
      <c r="O47" s="26">
        <f>O24/(C22-C20)</f>
        <v>2.9300069897260603</v>
      </c>
      <c r="P47" s="26">
        <f>P24/(D22-D20)</f>
        <v>3.4775986988023067</v>
      </c>
      <c r="Q47" s="26">
        <f>Q24/(E22-E20)</f>
        <v>2.987541113228164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1.1658293333333334</v>
      </c>
      <c r="O48" s="26">
        <f>O24/I25</f>
        <v>1.0461777777777779</v>
      </c>
      <c r="P48" s="26">
        <f>P24/J25</f>
        <v>1.2125351111111111</v>
      </c>
      <c r="Q48" s="26">
        <f>Q24/K25</f>
        <v>1.0075703703703704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16.055306647080425</v>
      </c>
      <c r="O49" s="26">
        <f>O24/(O18*-1)</f>
        <v>23.774920363608111</v>
      </c>
      <c r="P49" s="26">
        <f>P24/(P18*-1)</f>
        <v>22.768427026305247</v>
      </c>
      <c r="Q49" s="26">
        <f>Q24/(Q18*-1)</f>
        <v>61.750993076835776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2.3023829392460907E-2</v>
      </c>
      <c r="I50" s="28">
        <f>LN(I13/J13)</f>
        <v>-4.5554314359117012E-2</v>
      </c>
      <c r="J50" s="28">
        <f>LN(J13/K13)</f>
        <v>4.7862993263792127E-2</v>
      </c>
      <c r="M50" s="2"/>
      <c r="N50" s="12"/>
      <c r="O50" s="12"/>
    </row>
    <row r="51" spans="1:26">
      <c r="A51" s="29" t="s">
        <v>57</v>
      </c>
      <c r="B51" s="30">
        <f>B11/B17</f>
        <v>4.7065721270401593</v>
      </c>
      <c r="C51" s="30">
        <f>C11/C17</f>
        <v>5.1422371795589701</v>
      </c>
      <c r="D51" s="30">
        <f>D11/D17</f>
        <v>5.241335894783508</v>
      </c>
      <c r="E51" s="30">
        <f>E11/E17</f>
        <v>5.0738316558753764</v>
      </c>
      <c r="G51" s="29" t="s">
        <v>58</v>
      </c>
      <c r="H51" s="31">
        <f>H13/H11</f>
        <v>0.61498275705466465</v>
      </c>
      <c r="I51" s="31">
        <f>I13/I11</f>
        <v>0.62428171997630078</v>
      </c>
      <c r="J51" s="31">
        <f>J13/J11</f>
        <v>0.61300350558580785</v>
      </c>
      <c r="K51" s="31">
        <f>K13/K11</f>
        <v>0.58585723637626752</v>
      </c>
      <c r="M51" s="2" t="s">
        <v>59</v>
      </c>
      <c r="N51" s="32">
        <f>(N11-N24-N25)/B16</f>
        <v>-3.486454474171248E-2</v>
      </c>
      <c r="O51" s="32">
        <f>(O11-O24-O25)/C16</f>
        <v>7.887826456639814E-2</v>
      </c>
      <c r="P51" s="32">
        <f>(P11-P24-P25)/D16</f>
        <v>-5.7014842215120702E-2</v>
      </c>
      <c r="Q51" s="32">
        <f>(Q11-Q24-Q25)/E16</f>
        <v>0.10989349771886792</v>
      </c>
    </row>
    <row r="52" spans="1:26">
      <c r="A52" s="29" t="s">
        <v>60</v>
      </c>
      <c r="B52" s="31">
        <f>H20/B16</f>
        <v>0.29691128223595703</v>
      </c>
      <c r="C52" s="31">
        <f>I20/C16</f>
        <v>0.27426480828574989</v>
      </c>
      <c r="D52" s="31">
        <f>J20/D16</f>
        <v>0.28297962267316717</v>
      </c>
      <c r="E52" s="31">
        <f>K20/E16</f>
        <v>0.27487212818659618</v>
      </c>
      <c r="F52" s="31"/>
      <c r="G52" s="29" t="s">
        <v>61</v>
      </c>
      <c r="H52" s="31">
        <f>H16/H11</f>
        <v>2.7629732287525015E-2</v>
      </c>
      <c r="I52" s="31">
        <f>I16/I11</f>
        <v>4.040020777365657E-2</v>
      </c>
      <c r="J52" s="31">
        <f>J16/J11</f>
        <v>3.5935347974365345E-2</v>
      </c>
      <c r="K52" s="31">
        <f>K16/K11</f>
        <v>3.2621951801388285E-2</v>
      </c>
      <c r="M52" s="6"/>
    </row>
    <row r="53" spans="1:26">
      <c r="A53" s="29" t="s">
        <v>62</v>
      </c>
      <c r="B53" s="31">
        <f>H20/B20</f>
        <v>0.33310610754256897</v>
      </c>
      <c r="C53" s="31">
        <f>I20/C20</f>
        <v>0.30328670272964819</v>
      </c>
      <c r="D53" s="31">
        <f>J20/D20</f>
        <v>0.31076927852974046</v>
      </c>
      <c r="E53" s="31">
        <f>K20/E20</f>
        <v>0.30021965402212947</v>
      </c>
      <c r="G53" s="29" t="s">
        <v>11</v>
      </c>
      <c r="H53" s="31">
        <f>H17/H11</f>
        <v>0</v>
      </c>
      <c r="I53" s="31">
        <f>I17/I11</f>
        <v>0</v>
      </c>
      <c r="J53" s="31">
        <f>J17/J11</f>
        <v>0</v>
      </c>
      <c r="K53" s="31">
        <f>K17/K11</f>
        <v>0</v>
      </c>
      <c r="M53" s="6"/>
    </row>
    <row r="54" spans="1:26">
      <c r="A54" s="29" t="s">
        <v>63</v>
      </c>
      <c r="B54" s="30">
        <f>H11/B12</f>
        <v>4.6100927964556346</v>
      </c>
      <c r="C54" s="30">
        <f>I11/C12</f>
        <v>4.2816348338278027</v>
      </c>
      <c r="D54" s="30">
        <f>J11/D12</f>
        <v>4.9696506705139427</v>
      </c>
      <c r="E54" s="30">
        <f>K11/E12</f>
        <v>4.9668878566688788</v>
      </c>
      <c r="G54" s="29" t="s">
        <v>64</v>
      </c>
      <c r="H54" s="31">
        <f>H25/H22</f>
        <v>0.95918558749051475</v>
      </c>
      <c r="I54" s="31">
        <f>I25/I22</f>
        <v>1.0379517751636771</v>
      </c>
      <c r="J54" s="31">
        <f>J25/J22</f>
        <v>0.96153024333125359</v>
      </c>
      <c r="K54" s="31">
        <f>K25/K22</f>
        <v>0.96262690185662203</v>
      </c>
      <c r="M54" s="6"/>
    </row>
    <row r="55" spans="1:26">
      <c r="A55" s="29" t="s">
        <v>65</v>
      </c>
      <c r="B55" s="31">
        <f>(B22-B20)/B16</f>
        <v>0.10865854599194494</v>
      </c>
      <c r="C55" s="31">
        <f>(C22-C20)/C16</f>
        <v>9.5691285449361202E-2</v>
      </c>
      <c r="D55" s="31">
        <f>(D22-D20)/D16</f>
        <v>8.9422146191692684E-2</v>
      </c>
      <c r="E55" s="31">
        <f>(E22-E20)/E16</f>
        <v>8.4429934869170428E-2</v>
      </c>
      <c r="G55" s="29" t="s">
        <v>66</v>
      </c>
      <c r="H55" s="31">
        <f>H22/H11</f>
        <v>0.57274804008606339</v>
      </c>
      <c r="I55" s="31">
        <f>I22/I11</f>
        <v>0.57179350869646384</v>
      </c>
      <c r="J55" s="31">
        <f>J22/J11</f>
        <v>0.5568246607443873</v>
      </c>
      <c r="K55" s="31">
        <f>K22/K11</f>
        <v>0.53531587515769419</v>
      </c>
      <c r="L55" s="31"/>
      <c r="M55" s="6"/>
    </row>
    <row r="56" spans="1:26">
      <c r="A56" s="29" t="s">
        <v>67</v>
      </c>
      <c r="B56" s="31">
        <f>(B22-B20)/B20</f>
        <v>0.12190451313954372</v>
      </c>
      <c r="C56" s="31">
        <f>(C22-C20)/C20</f>
        <v>0.10581705551395827</v>
      </c>
      <c r="D56" s="31">
        <f>(D22-D20)/D20</f>
        <v>9.8203734933485012E-2</v>
      </c>
      <c r="E56" s="31">
        <f>(E22-E20)/E20</f>
        <v>9.2215700452270566E-2</v>
      </c>
      <c r="G56" s="33" t="s">
        <v>68</v>
      </c>
      <c r="H56" s="50">
        <f>H13/B16</f>
        <v>0.29797317536805434</v>
      </c>
      <c r="I56" s="50">
        <f>I13/C16</f>
        <v>0.28190305071576743</v>
      </c>
      <c r="J56" s="50">
        <f>J13/D16</f>
        <v>0.29363767632909932</v>
      </c>
      <c r="K56" s="50">
        <f>K13/E16</f>
        <v>0.28461555935602584</v>
      </c>
      <c r="M56" s="6"/>
    </row>
    <row r="57" spans="1:26">
      <c r="A57" s="29" t="s">
        <v>69</v>
      </c>
      <c r="B57" s="30">
        <f>H11/B16</f>
        <v>0.48452281295679978</v>
      </c>
      <c r="C57" s="30">
        <f>I11/C16</f>
        <v>0.45156384000234556</v>
      </c>
      <c r="D57" s="30">
        <f>J11/D16</f>
        <v>0.47901467716483737</v>
      </c>
      <c r="E57" s="30">
        <f>K11/E16</f>
        <v>0.48581043586057393</v>
      </c>
      <c r="G57" s="33" t="s">
        <v>70</v>
      </c>
      <c r="H57" s="51">
        <f>H25/$B$5</f>
        <v>110.63905115949724</v>
      </c>
      <c r="I57" s="51">
        <f>I25/$B$5</f>
        <v>115.06461320587714</v>
      </c>
      <c r="J57" s="51">
        <f>J25/$B$5</f>
        <v>110.63905115949724</v>
      </c>
      <c r="K57" s="51">
        <f>K25/$B$5</f>
        <v>106.21348911311736</v>
      </c>
      <c r="M57" s="6"/>
    </row>
    <row r="58" spans="1:26">
      <c r="A58" s="29" t="s">
        <v>71</v>
      </c>
      <c r="B58" s="30">
        <f>B16/B20</f>
        <v>1.1219045131395438</v>
      </c>
      <c r="C58" s="30">
        <f>C16/C20</f>
        <v>1.1058170555139584</v>
      </c>
      <c r="D58" s="30">
        <f>D16/D20</f>
        <v>1.098203734933485</v>
      </c>
      <c r="E58" s="30">
        <f>E16/E20</f>
        <v>1.0922157004522706</v>
      </c>
      <c r="G58" s="25" t="s">
        <v>72</v>
      </c>
      <c r="H58" s="39">
        <f>H22/$B$7/1000</f>
        <v>6.5159444444444441</v>
      </c>
      <c r="I58" s="39">
        <f>I22/$B$7/1000</f>
        <v>6.2623333333333333</v>
      </c>
      <c r="J58" s="39">
        <f>J22/$B$7/1000</f>
        <v>6.5000555555555559</v>
      </c>
      <c r="K58" s="39">
        <f>K22/$B$7/1000</f>
        <v>6.2329444444444446</v>
      </c>
      <c r="M58" s="6"/>
    </row>
    <row r="59" spans="1:26">
      <c r="G59" s="25" t="s">
        <v>73</v>
      </c>
      <c r="H59" s="39">
        <f>B20/$B$7/1000</f>
        <v>20.928766666666668</v>
      </c>
      <c r="I59" s="39">
        <f>C20/$B$7/1000</f>
        <v>21.932822222222221</v>
      </c>
      <c r="J59" s="39">
        <f>D20/$B$7/1000</f>
        <v>22.19048888888889</v>
      </c>
      <c r="K59" s="39">
        <f>E20/$B$7/1000</f>
        <v>21.9436</v>
      </c>
      <c r="M59" s="6"/>
    </row>
    <row r="60" spans="1:26">
      <c r="G60" s="33" t="s">
        <v>74</v>
      </c>
      <c r="H60" s="52">
        <f>SQRT(22.5*H58*H59)</f>
        <v>55.392601672440577</v>
      </c>
      <c r="I60" s="52">
        <f>SQRT(22.5*I58*I59)</f>
        <v>55.591271645526035</v>
      </c>
      <c r="J60" s="52">
        <f>SQRT(22.5*J58*J59)</f>
        <v>56.968295903169782</v>
      </c>
      <c r="K60" s="52">
        <f>SQRT(22.5*K58*K59)</f>
        <v>55.474299396206888</v>
      </c>
      <c r="M60" s="6"/>
    </row>
    <row r="61" spans="1:26">
      <c r="G61" s="33" t="s">
        <v>75</v>
      </c>
      <c r="H61" s="39">
        <f>H58-(B20*0.08/1000/$B$7)</f>
        <v>4.8416431111111109</v>
      </c>
      <c r="I61" s="39">
        <f>I58-(C20*0.08/1000/$B$7)</f>
        <v>4.5077075555555552</v>
      </c>
      <c r="J61" s="39">
        <f>J58-(D20*0.08/1000/$B$7)</f>
        <v>4.7248164444444445</v>
      </c>
      <c r="K61" s="39">
        <f>K58-(E20*0.08/1000/$B$7)</f>
        <v>4.4774564444444449</v>
      </c>
      <c r="M61" s="6"/>
    </row>
    <row r="62" spans="1:26">
      <c r="G62" s="2" t="s">
        <v>76</v>
      </c>
      <c r="H62" s="53">
        <f>H25/$B$7/1000</f>
        <v>6.25</v>
      </c>
      <c r="I62" s="53">
        <f>I25/$B$7/1000</f>
        <v>6.5</v>
      </c>
      <c r="J62" s="53">
        <f>J25/$B$7/1000</f>
        <v>6.25</v>
      </c>
      <c r="K62" s="53">
        <f>K25/$B$7/1000</f>
        <v>6</v>
      </c>
      <c r="M62" s="6"/>
    </row>
    <row r="63" spans="1:26">
      <c r="A63" s="2"/>
      <c r="M63" s="6"/>
    </row>
    <row r="64" spans="1:26">
      <c r="M64" s="6"/>
    </row>
    <row r="65" spans="7:13">
      <c r="M65" s="6"/>
    </row>
    <row r="66" spans="7:13">
      <c r="M66" s="6"/>
    </row>
    <row r="67" spans="7:13">
      <c r="M67" s="6"/>
    </row>
    <row r="68" spans="7:13">
      <c r="M68" s="6"/>
    </row>
    <row r="69" spans="7:13">
      <c r="M69" s="6"/>
    </row>
    <row r="70" spans="7:13">
      <c r="M70" s="6"/>
    </row>
    <row r="71" spans="7:13">
      <c r="M71" s="6"/>
    </row>
    <row r="72" spans="7:13">
      <c r="M72" s="6"/>
    </row>
    <row r="73" spans="7:13">
      <c r="M73" s="6"/>
    </row>
    <row r="74" spans="7:13">
      <c r="G74" s="2" t="s">
        <v>86</v>
      </c>
      <c r="H74" s="6">
        <f>H59*$B$7/$B$5</f>
        <v>0.37048622175016227</v>
      </c>
      <c r="I74" s="6">
        <f>I59*$B$7/$B$5</f>
        <v>0.3882602623866564</v>
      </c>
      <c r="J74" s="6">
        <f>J59*$B$7/$B$5</f>
        <v>0.39282154166912531</v>
      </c>
      <c r="K74" s="6">
        <f>K59*$B$7/$B$5</f>
        <v>0.388451053283767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0.11896974233888216</v>
      </c>
      <c r="I77" s="28">
        <f>(I15-I16)/$B$6</f>
        <v>0.1135162869858837</v>
      </c>
      <c r="J77" s="28">
        <f>(J15-J16)/$B$6</f>
        <v>0.11768340872340489</v>
      </c>
      <c r="K77" s="28">
        <f>(K15-K16)/$B$6</f>
        <v>0.11242354809643862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12" width="15.140625"/>
    <col min="13" max="13" width="30.5703125"/>
    <col min="14" max="26" width="15.140625"/>
    <col min="27" max="1025" width="14.42578125"/>
  </cols>
  <sheetData>
    <row r="1" spans="1:26">
      <c r="A1" s="2"/>
      <c r="M1" s="6"/>
    </row>
    <row r="2" spans="1:26">
      <c r="A2" s="2"/>
      <c r="M2" s="6"/>
    </row>
    <row r="3" spans="1:26">
      <c r="A3" s="2"/>
      <c r="M3" s="6"/>
    </row>
    <row r="4" spans="1:26">
      <c r="A4" s="2"/>
      <c r="M4" s="6"/>
    </row>
    <row r="5" spans="1:26">
      <c r="A5" s="2"/>
      <c r="B5" s="55">
        <v>2459.6</v>
      </c>
      <c r="M5" s="6"/>
    </row>
    <row r="6" spans="1:26">
      <c r="A6" s="2"/>
      <c r="B6" s="4">
        <f>B5*1000+(B22-B20)-N23</f>
        <v>2624559</v>
      </c>
      <c r="M6" s="6"/>
    </row>
    <row r="7" spans="1:26">
      <c r="A7" s="2"/>
      <c r="B7" s="2">
        <v>140</v>
      </c>
      <c r="M7" s="6"/>
    </row>
    <row r="8" spans="1:26">
      <c r="M8" s="6"/>
    </row>
    <row r="9" spans="1:26">
      <c r="M9" s="6"/>
    </row>
    <row r="10" spans="1:26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  <c r="S10" s="2"/>
      <c r="T10" s="67"/>
      <c r="U10" s="67"/>
      <c r="V10" s="67"/>
      <c r="W10" s="67"/>
    </row>
    <row r="11" spans="1:26">
      <c r="A11" s="25" t="s">
        <v>6</v>
      </c>
      <c r="B11" s="56">
        <v>285258</v>
      </c>
      <c r="C11" s="56">
        <v>241988</v>
      </c>
      <c r="D11" s="56">
        <v>115524</v>
      </c>
      <c r="E11" s="56">
        <v>94623</v>
      </c>
      <c r="G11" s="25" t="s">
        <v>7</v>
      </c>
      <c r="H11" s="56">
        <v>356363</v>
      </c>
      <c r="I11" s="56">
        <v>355769</v>
      </c>
      <c r="J11" s="56">
        <v>159018</v>
      </c>
      <c r="K11" s="57"/>
      <c r="M11" s="25" t="s">
        <v>8</v>
      </c>
      <c r="N11" s="56">
        <v>120720</v>
      </c>
      <c r="O11" s="56">
        <v>154627</v>
      </c>
      <c r="P11" s="56">
        <v>53506</v>
      </c>
      <c r="Q11" s="58">
        <v>-25112</v>
      </c>
      <c r="S11" s="2"/>
      <c r="T11" s="4"/>
      <c r="U11" s="4"/>
      <c r="V11" s="4"/>
      <c r="W11" s="4"/>
      <c r="X11" s="4"/>
      <c r="Y11" s="4"/>
      <c r="Z11" s="28"/>
    </row>
    <row r="12" spans="1:26">
      <c r="A12" s="25" t="s">
        <v>9</v>
      </c>
      <c r="B12" s="56">
        <v>46157</v>
      </c>
      <c r="C12" s="56">
        <v>98054</v>
      </c>
      <c r="D12" s="56">
        <v>73772</v>
      </c>
      <c r="E12" s="56">
        <v>2086</v>
      </c>
      <c r="G12" s="25" t="s">
        <v>10</v>
      </c>
      <c r="H12" s="56">
        <v>130129</v>
      </c>
      <c r="I12" s="56">
        <v>112031</v>
      </c>
      <c r="J12" s="56">
        <v>35263</v>
      </c>
      <c r="K12" s="57"/>
      <c r="M12" s="25" t="s">
        <v>11</v>
      </c>
      <c r="N12" s="56">
        <v>61362</v>
      </c>
      <c r="O12" s="56">
        <v>59729</v>
      </c>
      <c r="P12" s="56">
        <v>46392</v>
      </c>
      <c r="Q12" s="56">
        <v>1203</v>
      </c>
      <c r="S12" s="2"/>
      <c r="T12" s="4"/>
      <c r="U12" s="4"/>
      <c r="V12" s="4"/>
      <c r="W12" s="4"/>
      <c r="X12" s="4"/>
      <c r="Y12" s="4"/>
      <c r="Z12" s="28"/>
    </row>
    <row r="13" spans="1:26">
      <c r="A13" s="25" t="s">
        <v>12</v>
      </c>
      <c r="B13" s="56">
        <v>36759</v>
      </c>
      <c r="C13" s="57"/>
      <c r="D13" s="57"/>
      <c r="E13" s="56">
        <v>971268</v>
      </c>
      <c r="G13" s="25" t="s">
        <v>13</v>
      </c>
      <c r="H13" s="56">
        <v>226234</v>
      </c>
      <c r="I13" s="56">
        <v>243738</v>
      </c>
      <c r="J13" s="56">
        <v>123755</v>
      </c>
      <c r="K13" s="57"/>
      <c r="M13" s="25" t="s">
        <v>14</v>
      </c>
      <c r="N13" s="56">
        <v>1581</v>
      </c>
      <c r="O13" s="58">
        <v>-25678</v>
      </c>
      <c r="P13" s="58">
        <v>-2529</v>
      </c>
      <c r="Q13" s="57"/>
      <c r="S13" s="2"/>
      <c r="T13" s="4"/>
      <c r="U13" s="4"/>
      <c r="V13" s="4"/>
      <c r="W13" s="4"/>
      <c r="X13" s="4"/>
      <c r="Y13" s="4"/>
      <c r="Z13" s="28"/>
    </row>
    <row r="14" spans="1:26">
      <c r="A14" s="25" t="s">
        <v>15</v>
      </c>
      <c r="B14" s="56">
        <v>1012075</v>
      </c>
      <c r="C14" s="56">
        <v>1058775</v>
      </c>
      <c r="D14" s="56">
        <v>1122148</v>
      </c>
      <c r="E14" s="56">
        <v>46848</v>
      </c>
      <c r="G14" s="25" t="s">
        <v>16</v>
      </c>
      <c r="H14" s="58">
        <v>-10454</v>
      </c>
      <c r="I14" s="56">
        <v>782</v>
      </c>
      <c r="J14" s="56">
        <v>3296</v>
      </c>
      <c r="K14" s="56">
        <v>1469</v>
      </c>
      <c r="M14" s="25" t="s">
        <v>9</v>
      </c>
      <c r="N14" s="58">
        <v>-27537</v>
      </c>
      <c r="O14" s="58">
        <v>-24283</v>
      </c>
      <c r="P14" s="58">
        <v>-71686</v>
      </c>
      <c r="Q14" s="58">
        <v>-2086</v>
      </c>
      <c r="S14" s="2"/>
      <c r="T14" s="4"/>
      <c r="U14" s="4"/>
      <c r="V14" s="4"/>
      <c r="W14" s="4"/>
      <c r="X14" s="4"/>
      <c r="Y14" s="4"/>
      <c r="Z14" s="28"/>
    </row>
    <row r="15" spans="1:26">
      <c r="A15" s="25" t="s">
        <v>17</v>
      </c>
      <c r="B15" s="56">
        <v>296</v>
      </c>
      <c r="C15" s="56">
        <v>656</v>
      </c>
      <c r="D15" s="56">
        <v>22843</v>
      </c>
      <c r="E15" s="57"/>
      <c r="G15" s="25" t="s">
        <v>18</v>
      </c>
      <c r="H15" s="56">
        <v>215780</v>
      </c>
      <c r="I15" s="56">
        <v>244520</v>
      </c>
      <c r="J15" s="56">
        <v>127051</v>
      </c>
      <c r="K15" s="56">
        <v>1469</v>
      </c>
      <c r="M15" s="25" t="s">
        <v>19</v>
      </c>
      <c r="N15" s="58">
        <v>-186</v>
      </c>
      <c r="O15" s="58">
        <v>-6616</v>
      </c>
      <c r="P15" s="56">
        <v>11404</v>
      </c>
      <c r="Q15" s="56">
        <v>104137</v>
      </c>
      <c r="S15" s="2"/>
      <c r="T15" s="4"/>
      <c r="U15" s="4"/>
      <c r="V15" s="4"/>
      <c r="W15" s="4"/>
      <c r="X15" s="4"/>
      <c r="Y15" s="4"/>
      <c r="Z15" s="28"/>
    </row>
    <row r="16" spans="1:26">
      <c r="A16" s="25" t="s">
        <v>20</v>
      </c>
      <c r="B16" s="56">
        <v>1380545</v>
      </c>
      <c r="C16" s="56">
        <v>1399473</v>
      </c>
      <c r="D16" s="56">
        <v>1334287</v>
      </c>
      <c r="E16" s="56">
        <v>1114825</v>
      </c>
      <c r="G16" s="25" t="s">
        <v>21</v>
      </c>
      <c r="H16" s="56">
        <v>33698</v>
      </c>
      <c r="I16" s="56">
        <v>30139</v>
      </c>
      <c r="J16" s="56">
        <v>14721</v>
      </c>
      <c r="K16" s="57"/>
      <c r="M16" s="25" t="s">
        <v>22</v>
      </c>
      <c r="N16" s="58">
        <v>-5184</v>
      </c>
      <c r="O16" s="58">
        <v>-39632</v>
      </c>
      <c r="P16" s="58">
        <v>-75279</v>
      </c>
      <c r="Q16" s="56">
        <v>118018</v>
      </c>
      <c r="S16" s="2"/>
      <c r="T16" s="4"/>
      <c r="U16" s="4"/>
      <c r="V16" s="4"/>
      <c r="W16" s="4"/>
      <c r="X16" s="4"/>
      <c r="Y16" s="4"/>
      <c r="Z16" s="28"/>
    </row>
    <row r="17" spans="1:26">
      <c r="A17" s="25" t="s">
        <v>23</v>
      </c>
      <c r="B17" s="56">
        <v>73053</v>
      </c>
      <c r="C17" s="56">
        <v>73801</v>
      </c>
      <c r="D17" s="56">
        <v>135959</v>
      </c>
      <c r="E17" s="56">
        <v>202847</v>
      </c>
      <c r="G17" s="25" t="s">
        <v>11</v>
      </c>
      <c r="H17" s="56">
        <v>61362</v>
      </c>
      <c r="I17" s="56">
        <v>59729</v>
      </c>
      <c r="J17" s="56">
        <v>46392</v>
      </c>
      <c r="K17" s="56">
        <v>1203</v>
      </c>
      <c r="M17" s="25" t="s">
        <v>24</v>
      </c>
      <c r="N17" s="56">
        <v>9599</v>
      </c>
      <c r="O17" s="58">
        <v>-10361</v>
      </c>
      <c r="P17" s="56">
        <v>3995</v>
      </c>
      <c r="Q17" s="58">
        <v>-3426</v>
      </c>
      <c r="S17" s="2"/>
      <c r="T17" s="4"/>
      <c r="U17" s="4"/>
      <c r="V17" s="4"/>
      <c r="W17" s="4"/>
      <c r="X17" s="4"/>
      <c r="Y17" s="4"/>
      <c r="Z17" s="28"/>
    </row>
    <row r="18" spans="1:26">
      <c r="A18" s="25" t="s">
        <v>25</v>
      </c>
      <c r="B18" s="56">
        <v>251573</v>
      </c>
      <c r="C18" s="56">
        <v>265819</v>
      </c>
      <c r="D18" s="56">
        <v>236583</v>
      </c>
      <c r="E18" s="56">
        <v>700</v>
      </c>
      <c r="G18" s="25" t="s">
        <v>26</v>
      </c>
      <c r="H18" s="57"/>
      <c r="I18" s="56">
        <v>25</v>
      </c>
      <c r="J18" s="56">
        <v>12433</v>
      </c>
      <c r="K18" s="56">
        <v>25378</v>
      </c>
      <c r="M18" s="25" t="s">
        <v>27</v>
      </c>
      <c r="N18" s="58">
        <v>-14662</v>
      </c>
      <c r="O18" s="58">
        <v>-17675</v>
      </c>
      <c r="P18" s="58">
        <v>-150424</v>
      </c>
      <c r="Q18" s="58">
        <v>-46673</v>
      </c>
      <c r="S18" s="2"/>
      <c r="T18" s="2"/>
      <c r="U18" s="2"/>
      <c r="V18" s="2"/>
      <c r="W18" s="2"/>
      <c r="X18" s="2"/>
      <c r="Y18" s="4"/>
      <c r="Z18" s="28"/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95060</v>
      </c>
      <c r="I19" s="56">
        <v>89893</v>
      </c>
      <c r="J19" s="56">
        <v>73546</v>
      </c>
      <c r="K19" s="56">
        <v>26581</v>
      </c>
      <c r="M19" s="25" t="s">
        <v>30</v>
      </c>
      <c r="N19" s="58">
        <v>-49981</v>
      </c>
      <c r="O19" s="57"/>
      <c r="P19" s="57"/>
      <c r="Q19" s="58">
        <v>-724327</v>
      </c>
      <c r="S19" s="2"/>
      <c r="T19" s="4"/>
      <c r="U19" s="4"/>
      <c r="V19" s="4"/>
      <c r="W19" s="4"/>
      <c r="X19" s="4"/>
      <c r="Y19" s="4"/>
      <c r="Z19" s="28"/>
    </row>
    <row r="20" spans="1:26">
      <c r="A20" s="25" t="s">
        <v>31</v>
      </c>
      <c r="B20" s="56">
        <v>1055919</v>
      </c>
      <c r="C20" s="56">
        <v>1059853</v>
      </c>
      <c r="D20" s="56">
        <v>961745</v>
      </c>
      <c r="E20" s="56">
        <v>911278</v>
      </c>
      <c r="G20" s="25" t="s">
        <v>32</v>
      </c>
      <c r="H20" s="56">
        <v>120720</v>
      </c>
      <c r="I20" s="56">
        <v>154627</v>
      </c>
      <c r="J20" s="56">
        <v>53505</v>
      </c>
      <c r="K20" s="58">
        <v>-25112</v>
      </c>
      <c r="M20" s="25" t="s">
        <v>33</v>
      </c>
      <c r="N20" s="58">
        <v>-13000</v>
      </c>
      <c r="O20" s="56">
        <v>55000</v>
      </c>
      <c r="P20" s="56">
        <v>215000</v>
      </c>
      <c r="Q20" s="57"/>
      <c r="S20" s="2"/>
      <c r="T20" s="4"/>
      <c r="U20" s="4"/>
      <c r="V20" s="4"/>
      <c r="W20" s="4"/>
      <c r="X20" s="4"/>
      <c r="Y20" s="4"/>
      <c r="Z20" s="28"/>
    </row>
    <row r="21" spans="1:26">
      <c r="A21" s="25" t="s">
        <v>34</v>
      </c>
      <c r="B21" s="59"/>
      <c r="C21" s="59"/>
      <c r="D21" s="57"/>
      <c r="E21" s="59"/>
      <c r="G21" s="25" t="s">
        <v>35</v>
      </c>
      <c r="H21" s="56">
        <v>7174</v>
      </c>
      <c r="I21" s="56">
        <v>7569</v>
      </c>
      <c r="J21" s="56">
        <v>3038</v>
      </c>
      <c r="K21" s="56">
        <v>1669</v>
      </c>
      <c r="M21" s="25" t="s">
        <v>36</v>
      </c>
      <c r="N21" s="58">
        <v>-117481</v>
      </c>
      <c r="O21" s="58">
        <v>-48859</v>
      </c>
      <c r="P21" s="57"/>
      <c r="Q21" s="57"/>
      <c r="S21" s="2"/>
      <c r="T21" s="4"/>
      <c r="U21" s="4"/>
      <c r="V21" s="4"/>
      <c r="W21" s="4"/>
      <c r="X21" s="4"/>
      <c r="Y21" s="4"/>
      <c r="Z21" s="28"/>
    </row>
    <row r="22" spans="1:26">
      <c r="A22" s="25" t="s">
        <v>37</v>
      </c>
      <c r="B22" s="56">
        <v>1380545</v>
      </c>
      <c r="C22" s="56">
        <v>1399473</v>
      </c>
      <c r="D22" s="56">
        <v>1334287</v>
      </c>
      <c r="E22" s="56">
        <v>1114825</v>
      </c>
      <c r="G22" s="25" t="s">
        <v>8</v>
      </c>
      <c r="H22" s="56">
        <v>113546</v>
      </c>
      <c r="I22" s="56">
        <v>147058</v>
      </c>
      <c r="J22" s="56">
        <v>50467</v>
      </c>
      <c r="K22" s="58">
        <v>-26781</v>
      </c>
      <c r="M22" s="25" t="s">
        <v>38</v>
      </c>
      <c r="N22" s="56">
        <v>194436</v>
      </c>
      <c r="O22" s="56">
        <v>98183</v>
      </c>
      <c r="P22" s="56">
        <v>67804</v>
      </c>
      <c r="Q22" s="56">
        <v>646070</v>
      </c>
      <c r="S22" s="2"/>
      <c r="T22" s="4"/>
      <c r="U22" s="4"/>
      <c r="V22" s="4"/>
      <c r="W22" s="4"/>
      <c r="X22" s="4"/>
      <c r="Y22" s="4"/>
      <c r="Z22" s="28"/>
    </row>
    <row r="23" spans="1:26">
      <c r="B23" s="4">
        <f>B11+B12</f>
        <v>331415</v>
      </c>
      <c r="C23" s="4">
        <f>C11+C12</f>
        <v>340042</v>
      </c>
      <c r="D23" s="4">
        <f>D11+D12</f>
        <v>189296</v>
      </c>
      <c r="E23" s="4">
        <f>E11+E12</f>
        <v>96709</v>
      </c>
      <c r="G23" s="25" t="s">
        <v>39</v>
      </c>
      <c r="H23" s="56">
        <v>67872</v>
      </c>
      <c r="I23" s="58">
        <v>-17255</v>
      </c>
      <c r="J23" s="58">
        <v>-67722</v>
      </c>
      <c r="K23" s="56">
        <v>938059</v>
      </c>
      <c r="M23" s="25" t="s">
        <v>40</v>
      </c>
      <c r="N23" s="56">
        <v>159667</v>
      </c>
      <c r="O23" s="56">
        <v>194435</v>
      </c>
      <c r="P23" s="56">
        <v>98183</v>
      </c>
      <c r="Q23" s="56">
        <v>67804</v>
      </c>
      <c r="S23" s="2"/>
      <c r="T23" s="4"/>
      <c r="U23" s="4"/>
      <c r="V23" s="4"/>
      <c r="W23" s="4"/>
      <c r="X23" s="4"/>
      <c r="Y23" s="4"/>
      <c r="Z23" s="28"/>
    </row>
    <row r="24" spans="1:26">
      <c r="G24" s="25" t="s">
        <v>41</v>
      </c>
      <c r="H24" s="56">
        <v>11355</v>
      </c>
      <c r="I24" s="58">
        <v>-12980</v>
      </c>
      <c r="J24" s="57"/>
      <c r="K24" s="57"/>
      <c r="M24" s="2" t="s">
        <v>42</v>
      </c>
      <c r="N24" s="12">
        <f>SUM(N11:N17)</f>
        <v>160355</v>
      </c>
      <c r="O24" s="12">
        <f>SUM(O11:O17)</f>
        <v>107786</v>
      </c>
      <c r="P24" s="12">
        <f>SUM(P11:P17)</f>
        <v>-34197</v>
      </c>
      <c r="Q24" s="12">
        <f>SUM(Q11:Q17)</f>
        <v>192734</v>
      </c>
      <c r="S24" s="2"/>
      <c r="T24" s="2"/>
      <c r="U24" s="2"/>
      <c r="V24" s="2"/>
      <c r="W24" s="4"/>
      <c r="X24" s="4"/>
      <c r="Y24" s="4"/>
      <c r="Z24" s="28"/>
    </row>
    <row r="25" spans="1:26">
      <c r="B25" s="28">
        <f>H20/B22</f>
        <v>8.7443726933928267E-2</v>
      </c>
      <c r="G25" s="25" t="s">
        <v>43</v>
      </c>
      <c r="H25" s="56">
        <v>117480</v>
      </c>
      <c r="I25" s="58">
        <v>-48980</v>
      </c>
      <c r="J25" s="57"/>
      <c r="K25" s="57"/>
      <c r="M25" s="2" t="s">
        <v>44</v>
      </c>
      <c r="N25" s="12">
        <f>N18+N19</f>
        <v>-64643</v>
      </c>
      <c r="O25" s="12">
        <f>O18+O19</f>
        <v>-17675</v>
      </c>
      <c r="P25" s="12">
        <f>P18+P19</f>
        <v>-150424</v>
      </c>
      <c r="Q25" s="12">
        <f>Q18+Q19</f>
        <v>-771000</v>
      </c>
      <c r="S25" s="2"/>
      <c r="T25" s="2"/>
      <c r="U25" s="2"/>
      <c r="V25" s="4"/>
      <c r="W25" s="4"/>
      <c r="X25" s="4"/>
      <c r="Y25" s="4"/>
      <c r="Z25" s="28"/>
    </row>
    <row r="26" spans="1:26">
      <c r="G26" s="25" t="s">
        <v>45</v>
      </c>
      <c r="H26" s="57"/>
      <c r="I26" s="57"/>
      <c r="J26" s="57"/>
      <c r="K26" s="57"/>
      <c r="M26" s="2" t="s">
        <v>46</v>
      </c>
      <c r="N26" s="12">
        <f>N20+N21</f>
        <v>-130481</v>
      </c>
      <c r="O26" s="12">
        <f>O20+O21</f>
        <v>6141</v>
      </c>
      <c r="P26" s="12">
        <f>P20+P21</f>
        <v>215000</v>
      </c>
      <c r="Q26" s="12">
        <f>Q20+Q21</f>
        <v>0</v>
      </c>
      <c r="S26" s="2"/>
      <c r="T26" s="4"/>
      <c r="U26" s="4"/>
      <c r="V26" s="2"/>
      <c r="W26" s="2"/>
      <c r="X26" s="2"/>
      <c r="Y26" s="4"/>
      <c r="Z26" s="28"/>
    </row>
    <row r="27" spans="1:26">
      <c r="G27" s="25" t="s">
        <v>47</v>
      </c>
      <c r="H27" s="56">
        <v>52584</v>
      </c>
      <c r="I27" s="56">
        <v>67872</v>
      </c>
      <c r="J27" s="58">
        <v>-17255</v>
      </c>
      <c r="K27" s="56">
        <v>911278</v>
      </c>
      <c r="M27" s="2" t="s">
        <v>48</v>
      </c>
      <c r="N27" s="12">
        <f>N24+N25+N26</f>
        <v>-34769</v>
      </c>
      <c r="O27" s="12">
        <f>O24+O25+O26</f>
        <v>96252</v>
      </c>
      <c r="P27" s="12">
        <f>P24+P25+P26</f>
        <v>30379</v>
      </c>
      <c r="Q27" s="12">
        <f>Q24+Q25+Q26</f>
        <v>-578266</v>
      </c>
      <c r="S27" s="2"/>
      <c r="T27" s="4"/>
      <c r="U27" s="4"/>
      <c r="V27" s="4"/>
      <c r="W27" s="4"/>
      <c r="X27" s="4"/>
      <c r="Y27" s="4"/>
      <c r="Z27" s="28"/>
    </row>
    <row r="28" spans="1:26">
      <c r="M28" s="2" t="s">
        <v>104</v>
      </c>
      <c r="N28" s="12">
        <f>N24+N18</f>
        <v>145693</v>
      </c>
      <c r="O28" s="12">
        <f>O24+O18</f>
        <v>90111</v>
      </c>
      <c r="P28" s="12">
        <f>P24+P18</f>
        <v>-184621</v>
      </c>
      <c r="Q28" s="12">
        <f>Q24+Q18</f>
        <v>146061</v>
      </c>
      <c r="Z28" s="28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0.20662709292344689</v>
      </c>
      <c r="C30" s="24">
        <f t="shared" si="0"/>
        <v>0.17291366107098888</v>
      </c>
      <c r="D30" s="24">
        <f t="shared" si="0"/>
        <v>8.6581072887617128E-2</v>
      </c>
      <c r="E30" s="24">
        <f t="shared" si="0"/>
        <v>8.4876998632072292E-2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 t="e">
        <f t="shared" si="1"/>
        <v>#DIV/0!</v>
      </c>
      <c r="L30" s="6"/>
      <c r="M30" s="25" t="s">
        <v>8</v>
      </c>
      <c r="N30" s="26">
        <f t="shared" ref="N30:N42" si="2">N11/H$11</f>
        <v>0.33875570696172164</v>
      </c>
      <c r="O30" s="26">
        <f t="shared" ref="O30:O42" si="3">O11/I$11</f>
        <v>0.4346275251638001</v>
      </c>
      <c r="P30" s="26">
        <f t="shared" ref="P30:P42" si="4">P11/J$11</f>
        <v>0.33647763146310483</v>
      </c>
      <c r="Q30" s="26" t="e">
        <f t="shared" ref="Q30:Q42" si="5">Q11/K$11</f>
        <v>#DIV/0!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3.3433897482515962E-2</v>
      </c>
      <c r="C31" s="24">
        <f t="shared" si="0"/>
        <v>7.0064945876054774E-2</v>
      </c>
      <c r="D31" s="24">
        <f t="shared" si="0"/>
        <v>5.5289454217870668E-2</v>
      </c>
      <c r="E31" s="24">
        <f t="shared" si="0"/>
        <v>1.8711456955127486E-3</v>
      </c>
      <c r="F31" s="6"/>
      <c r="G31" s="25" t="s">
        <v>10</v>
      </c>
      <c r="H31" s="24">
        <f t="shared" si="1"/>
        <v>0.36515856023212284</v>
      </c>
      <c r="I31" s="24">
        <f t="shared" si="1"/>
        <v>0.31489815020420553</v>
      </c>
      <c r="J31" s="24">
        <f t="shared" si="1"/>
        <v>0.22175476990026285</v>
      </c>
      <c r="K31" s="24" t="e">
        <f t="shared" si="1"/>
        <v>#DIV/0!</v>
      </c>
      <c r="L31" s="6"/>
      <c r="M31" s="25" t="s">
        <v>11</v>
      </c>
      <c r="N31" s="26">
        <f t="shared" si="2"/>
        <v>0.17218959319570212</v>
      </c>
      <c r="O31" s="26">
        <f t="shared" si="3"/>
        <v>0.16788702781861264</v>
      </c>
      <c r="P31" s="26">
        <f t="shared" si="4"/>
        <v>0.29174055767271628</v>
      </c>
      <c r="Q31" s="26" t="e">
        <f t="shared" si="5"/>
        <v>#DIV/0!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2.6626441006993615E-2</v>
      </c>
      <c r="C32" s="24">
        <f t="shared" si="0"/>
        <v>0</v>
      </c>
      <c r="D32" s="24">
        <f t="shared" si="0"/>
        <v>0</v>
      </c>
      <c r="E32" s="24">
        <f t="shared" si="0"/>
        <v>0.87122911667750547</v>
      </c>
      <c r="F32" s="6"/>
      <c r="G32" s="25" t="s">
        <v>13</v>
      </c>
      <c r="H32" s="24">
        <f t="shared" si="1"/>
        <v>0.6348414397678771</v>
      </c>
      <c r="I32" s="24">
        <f t="shared" si="1"/>
        <v>0.68510184979579447</v>
      </c>
      <c r="J32" s="24">
        <f t="shared" si="1"/>
        <v>0.77824523009973712</v>
      </c>
      <c r="K32" s="24" t="e">
        <f t="shared" si="1"/>
        <v>#DIV/0!</v>
      </c>
      <c r="L32" s="6"/>
      <c r="M32" s="25" t="s">
        <v>14</v>
      </c>
      <c r="N32" s="26">
        <f t="shared" si="2"/>
        <v>4.4364875141358669E-3</v>
      </c>
      <c r="O32" s="26">
        <f t="shared" si="3"/>
        <v>-7.2176046816895226E-2</v>
      </c>
      <c r="P32" s="26">
        <f t="shared" si="4"/>
        <v>-1.5903859940384107E-2</v>
      </c>
      <c r="Q32" s="26" t="e">
        <f t="shared" si="5"/>
        <v>#DIV/0!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0.73309816050907428</v>
      </c>
      <c r="C33" s="24">
        <f t="shared" si="0"/>
        <v>0.75655264517429066</v>
      </c>
      <c r="D33" s="24">
        <f t="shared" si="0"/>
        <v>0.84100946797802867</v>
      </c>
      <c r="E33" s="24">
        <f t="shared" si="0"/>
        <v>4.2022738994909513E-2</v>
      </c>
      <c r="F33" s="6"/>
      <c r="G33" s="25" t="s">
        <v>16</v>
      </c>
      <c r="H33" s="24">
        <f t="shared" si="1"/>
        <v>-2.9335256466019199E-2</v>
      </c>
      <c r="I33" s="24">
        <f t="shared" si="1"/>
        <v>2.1980554798197707E-3</v>
      </c>
      <c r="J33" s="24">
        <f t="shared" si="1"/>
        <v>2.0727213271453545E-2</v>
      </c>
      <c r="K33" s="24" t="e">
        <f t="shared" si="1"/>
        <v>#DIV/0!</v>
      </c>
      <c r="L33" s="6"/>
      <c r="M33" s="25" t="s">
        <v>9</v>
      </c>
      <c r="N33" s="26">
        <f t="shared" si="2"/>
        <v>-7.7272331863857915E-2</v>
      </c>
      <c r="O33" s="26">
        <f t="shared" si="3"/>
        <v>-6.8254963192408563E-2</v>
      </c>
      <c r="P33" s="26">
        <f t="shared" si="4"/>
        <v>-0.45080431146159555</v>
      </c>
      <c r="Q33" s="26" t="e">
        <f t="shared" si="5"/>
        <v>#DIV/0!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2.144080779692078E-4</v>
      </c>
      <c r="C34" s="24">
        <f t="shared" si="0"/>
        <v>4.6874787866575489E-4</v>
      </c>
      <c r="D34" s="24">
        <f t="shared" si="0"/>
        <v>1.7120004916483484E-2</v>
      </c>
      <c r="E34" s="24">
        <f t="shared" si="0"/>
        <v>0</v>
      </c>
      <c r="F34" s="6"/>
      <c r="G34" s="25" t="s">
        <v>18</v>
      </c>
      <c r="H34" s="24">
        <f t="shared" si="1"/>
        <v>0.6055061833018579</v>
      </c>
      <c r="I34" s="24">
        <f t="shared" si="1"/>
        <v>0.68729990527561424</v>
      </c>
      <c r="J34" s="24">
        <f t="shared" si="1"/>
        <v>0.79897244337119067</v>
      </c>
      <c r="K34" s="24" t="e">
        <f t="shared" si="1"/>
        <v>#DIV/0!</v>
      </c>
      <c r="L34" s="6"/>
      <c r="M34" s="25" t="s">
        <v>19</v>
      </c>
      <c r="N34" s="26">
        <f t="shared" si="2"/>
        <v>-5.219397075453961E-4</v>
      </c>
      <c r="O34" s="26">
        <f t="shared" si="3"/>
        <v>-1.8596336386812792E-2</v>
      </c>
      <c r="P34" s="26">
        <f t="shared" si="4"/>
        <v>7.171515174382774E-2</v>
      </c>
      <c r="Q34" s="26" t="e">
        <f t="shared" si="5"/>
        <v>#DIV/0!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9.4560883144434185E-2</v>
      </c>
      <c r="I35" s="24">
        <f t="shared" si="1"/>
        <v>8.4715081977350476E-2</v>
      </c>
      <c r="J35" s="24">
        <f t="shared" si="1"/>
        <v>9.2574425536731689E-2</v>
      </c>
      <c r="K35" s="24" t="e">
        <f t="shared" si="1"/>
        <v>#DIV/0!</v>
      </c>
      <c r="L35" s="6"/>
      <c r="M35" s="25" t="s">
        <v>22</v>
      </c>
      <c r="N35" s="26">
        <f t="shared" si="2"/>
        <v>-1.4546964752232976E-2</v>
      </c>
      <c r="O35" s="26">
        <f t="shared" si="3"/>
        <v>-0.11139812631229815</v>
      </c>
      <c r="P35" s="26">
        <f t="shared" si="4"/>
        <v>-0.47339923782213333</v>
      </c>
      <c r="Q35" s="26" t="e">
        <f t="shared" si="5"/>
        <v>#DIV/0!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5.2916058513123441E-2</v>
      </c>
      <c r="C36" s="24">
        <f t="shared" si="0"/>
        <v>5.2734850904590513E-2</v>
      </c>
      <c r="D36" s="24">
        <f t="shared" si="0"/>
        <v>0.10189636862234287</v>
      </c>
      <c r="E36" s="24">
        <f t="shared" si="0"/>
        <v>0.18195411835938377</v>
      </c>
      <c r="F36" s="6"/>
      <c r="G36" s="25" t="s">
        <v>11</v>
      </c>
      <c r="H36" s="24">
        <f t="shared" si="1"/>
        <v>0.17218959319570212</v>
      </c>
      <c r="I36" s="24">
        <f t="shared" si="1"/>
        <v>0.16788702781861264</v>
      </c>
      <c r="J36" s="24">
        <f t="shared" si="1"/>
        <v>0.29174055767271628</v>
      </c>
      <c r="K36" s="24" t="e">
        <f t="shared" si="1"/>
        <v>#DIV/0!</v>
      </c>
      <c r="L36" s="6"/>
      <c r="M36" s="25" t="s">
        <v>24</v>
      </c>
      <c r="N36" s="26">
        <f t="shared" si="2"/>
        <v>2.6936017487786332E-2</v>
      </c>
      <c r="O36" s="26">
        <f t="shared" si="3"/>
        <v>-2.9122829701294942E-2</v>
      </c>
      <c r="P36" s="26">
        <f t="shared" si="4"/>
        <v>2.5122942056874063E-2</v>
      </c>
      <c r="Q36" s="26" t="e">
        <f t="shared" si="5"/>
        <v>#DIV/0!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0.18222730878022811</v>
      </c>
      <c r="C37" s="24">
        <f t="shared" si="0"/>
        <v>0.18994221396196997</v>
      </c>
      <c r="D37" s="24">
        <f t="shared" si="0"/>
        <v>0.17731042871586097</v>
      </c>
      <c r="E37" s="24">
        <f t="shared" si="0"/>
        <v>6.2790124010494921E-4</v>
      </c>
      <c r="F37" s="6"/>
      <c r="G37" s="25" t="s">
        <v>26</v>
      </c>
      <c r="H37" s="24">
        <f t="shared" si="1"/>
        <v>0</v>
      </c>
      <c r="I37" s="24">
        <f t="shared" si="1"/>
        <v>7.0270315851015687E-5</v>
      </c>
      <c r="J37" s="24">
        <f t="shared" si="1"/>
        <v>7.8186117294897439E-2</v>
      </c>
      <c r="K37" s="24" t="e">
        <f t="shared" si="1"/>
        <v>#DIV/0!</v>
      </c>
      <c r="L37" s="6"/>
      <c r="M37" s="25" t="s">
        <v>27</v>
      </c>
      <c r="N37" s="26">
        <f t="shared" si="2"/>
        <v>-4.1143440817368808E-2</v>
      </c>
      <c r="O37" s="26">
        <f t="shared" si="3"/>
        <v>-4.9681113306668093E-2</v>
      </c>
      <c r="P37" s="26">
        <f t="shared" si="4"/>
        <v>-0.94595580374548793</v>
      </c>
      <c r="Q37" s="26" t="e">
        <f t="shared" si="5"/>
        <v>#DIV/0!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0.26675047634013632</v>
      </c>
      <c r="I38" s="24">
        <f t="shared" si="1"/>
        <v>0.25267238011181414</v>
      </c>
      <c r="J38" s="24">
        <f t="shared" si="1"/>
        <v>0.4625011005043454</v>
      </c>
      <c r="K38" s="24" t="e">
        <f t="shared" si="1"/>
        <v>#DIV/0!</v>
      </c>
      <c r="L38" s="6"/>
      <c r="M38" s="25" t="s">
        <v>30</v>
      </c>
      <c r="N38" s="26">
        <f t="shared" si="2"/>
        <v>-0.14025305657433573</v>
      </c>
      <c r="O38" s="26">
        <f t="shared" si="3"/>
        <v>0</v>
      </c>
      <c r="P38" s="26">
        <f t="shared" si="4"/>
        <v>0</v>
      </c>
      <c r="Q38" s="26" t="e">
        <f t="shared" si="5"/>
        <v>#DIV/0!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0.7648566327066485</v>
      </c>
      <c r="C39" s="24">
        <f t="shared" si="0"/>
        <v>0.75732293513343951</v>
      </c>
      <c r="D39" s="24">
        <f t="shared" si="0"/>
        <v>0.72079320266179614</v>
      </c>
      <c r="E39" s="24">
        <f t="shared" si="0"/>
        <v>0.81741798040051128</v>
      </c>
      <c r="F39" s="6"/>
      <c r="G39" s="25" t="s">
        <v>32</v>
      </c>
      <c r="H39" s="24">
        <f t="shared" si="1"/>
        <v>0.33875570696172164</v>
      </c>
      <c r="I39" s="24">
        <f t="shared" si="1"/>
        <v>0.4346275251638001</v>
      </c>
      <c r="J39" s="24">
        <f t="shared" si="1"/>
        <v>0.33647134286684527</v>
      </c>
      <c r="K39" s="24" t="e">
        <f t="shared" si="1"/>
        <v>#DIV/0!</v>
      </c>
      <c r="L39" s="6"/>
      <c r="M39" s="25" t="s">
        <v>33</v>
      </c>
      <c r="N39" s="26">
        <f t="shared" si="2"/>
        <v>-3.64796569789793E-2</v>
      </c>
      <c r="O39" s="26">
        <f t="shared" si="3"/>
        <v>0.15459469487223451</v>
      </c>
      <c r="P39" s="26">
        <f t="shared" si="4"/>
        <v>1.3520481958017332</v>
      </c>
      <c r="Q39" s="26" t="e">
        <f t="shared" si="5"/>
        <v>#DIV/0!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2.0131158397476732E-2</v>
      </c>
      <c r="I40" s="24">
        <f t="shared" si="1"/>
        <v>2.1275040827053511E-2</v>
      </c>
      <c r="J40" s="24">
        <f t="shared" si="1"/>
        <v>1.9104755436491466E-2</v>
      </c>
      <c r="K40" s="24" t="e">
        <f t="shared" si="1"/>
        <v>#DIV/0!</v>
      </c>
      <c r="L40" s="6"/>
      <c r="M40" s="25" t="s">
        <v>36</v>
      </c>
      <c r="N40" s="26">
        <f t="shared" si="2"/>
        <v>-0.32966666011903595</v>
      </c>
      <c r="O40" s="26">
        <f t="shared" si="3"/>
        <v>-0.13733349448659102</v>
      </c>
      <c r="P40" s="26">
        <f t="shared" si="4"/>
        <v>0</v>
      </c>
      <c r="Q40" s="26" t="e">
        <f t="shared" si="5"/>
        <v>#DIV/0!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0.31862454856424488</v>
      </c>
      <c r="I41" s="24">
        <f t="shared" si="1"/>
        <v>0.4133524843367466</v>
      </c>
      <c r="J41" s="24">
        <f t="shared" si="1"/>
        <v>0.31736658743035379</v>
      </c>
      <c r="K41" s="24" t="e">
        <f t="shared" si="1"/>
        <v>#DIV/0!</v>
      </c>
      <c r="L41" s="6"/>
      <c r="M41" s="25" t="s">
        <v>38</v>
      </c>
      <c r="N41" s="26">
        <f t="shared" si="2"/>
        <v>0.54561219879729372</v>
      </c>
      <c r="O41" s="26">
        <f t="shared" si="3"/>
        <v>0.27597401684801093</v>
      </c>
      <c r="P41" s="26">
        <f t="shared" si="4"/>
        <v>0.42639198078204982</v>
      </c>
      <c r="Q41" s="26" t="e">
        <f t="shared" si="5"/>
        <v>#DIV/0!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0.19045748295979101</v>
      </c>
      <c r="I42" s="24">
        <f t="shared" si="1"/>
        <v>-4.8500572000371028E-2</v>
      </c>
      <c r="J42" s="24">
        <f t="shared" si="1"/>
        <v>-0.42587631588876729</v>
      </c>
      <c r="K42" s="24" t="e">
        <f t="shared" si="1"/>
        <v>#DIV/0!</v>
      </c>
      <c r="L42" s="6"/>
      <c r="M42" s="25" t="s">
        <v>40</v>
      </c>
      <c r="N42" s="26">
        <f t="shared" si="2"/>
        <v>0.44804595314328366</v>
      </c>
      <c r="O42" s="26">
        <f t="shared" si="3"/>
        <v>0.54652035449968939</v>
      </c>
      <c r="P42" s="26">
        <f t="shared" si="4"/>
        <v>0.61743324655070497</v>
      </c>
      <c r="Q42" s="26" t="e">
        <f t="shared" si="5"/>
        <v>#DIV/0!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3.1863577307408457E-2</v>
      </c>
      <c r="I43" s="24">
        <f t="shared" si="1"/>
        <v>-3.6484347989847343E-2</v>
      </c>
      <c r="J43" s="24">
        <f t="shared" si="1"/>
        <v>0</v>
      </c>
      <c r="K43" s="24" t="e">
        <f t="shared" si="1"/>
        <v>#DIV/0!</v>
      </c>
      <c r="L43" s="6"/>
      <c r="M43" s="2" t="s">
        <v>49</v>
      </c>
      <c r="N43" s="26">
        <f>N24/H11</f>
        <v>0.44997656883570963</v>
      </c>
      <c r="O43" s="26">
        <f>O24/I11</f>
        <v>0.3029662505727031</v>
      </c>
      <c r="P43" s="26">
        <f>P24/J11</f>
        <v>-0.21505112628759007</v>
      </c>
      <c r="Q43" s="26" t="e">
        <f>Q24/K11</f>
        <v>#DIV/0!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0.32966385399157599</v>
      </c>
      <c r="I44" s="24">
        <f t="shared" si="1"/>
        <v>-0.13767360281530994</v>
      </c>
      <c r="J44" s="24">
        <f t="shared" si="1"/>
        <v>0</v>
      </c>
      <c r="K44" s="24" t="e">
        <f t="shared" si="1"/>
        <v>#DIV/0!</v>
      </c>
      <c r="L44" s="6"/>
      <c r="M44" s="2" t="s">
        <v>50</v>
      </c>
      <c r="N44" s="26">
        <f>N24/B16</f>
        <v>0.11615340318497405</v>
      </c>
      <c r="O44" s="26">
        <f>O24/C16</f>
        <v>7.7018992149187587E-2</v>
      </c>
      <c r="P44" s="26">
        <f>P24/D16</f>
        <v>-2.5629418558376121E-2</v>
      </c>
      <c r="Q44" s="26">
        <f>Q24/E16</f>
        <v>0.1728827394434104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0</v>
      </c>
      <c r="I45" s="24">
        <f t="shared" si="1"/>
        <v>0</v>
      </c>
      <c r="J45" s="24">
        <f t="shared" si="1"/>
        <v>0</v>
      </c>
      <c r="K45" s="24" t="e">
        <f t="shared" si="1"/>
        <v>#DIV/0!</v>
      </c>
      <c r="L45" s="6"/>
      <c r="M45" s="2" t="s">
        <v>51</v>
      </c>
      <c r="N45" s="26">
        <f>N24/B20</f>
        <v>0.15186297433799373</v>
      </c>
      <c r="O45" s="26">
        <f>O24/C20</f>
        <v>0.10169900920221955</v>
      </c>
      <c r="P45" s="26">
        <f>P24/D20</f>
        <v>-3.5557242304353025E-2</v>
      </c>
      <c r="Q45" s="26">
        <f>Q24/E20</f>
        <v>0.21149857672411712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0.14755740635251136</v>
      </c>
      <c r="I46" s="24">
        <f t="shared" si="1"/>
        <v>0.19077547509760548</v>
      </c>
      <c r="J46" s="24">
        <f t="shared" si="1"/>
        <v>-0.10850972845841352</v>
      </c>
      <c r="K46" s="24" t="e">
        <f t="shared" si="1"/>
        <v>#DIV/0!</v>
      </c>
      <c r="L46" s="6"/>
      <c r="M46" s="2" t="s">
        <v>52</v>
      </c>
      <c r="N46" s="26">
        <f>N24/H22</f>
        <v>1.4122470188293732</v>
      </c>
      <c r="O46" s="26">
        <f>O24/I22</f>
        <v>0.7329489045138653</v>
      </c>
      <c r="P46" s="26">
        <f>P24/J22</f>
        <v>-0.67761111221194048</v>
      </c>
      <c r="Q46" s="26">
        <f>Q24/K22</f>
        <v>-7.1966692804600276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0.49396844368596476</v>
      </c>
      <c r="O47" s="26">
        <f>O24/(C22-C20)</f>
        <v>0.31737235734055708</v>
      </c>
      <c r="P47" s="26">
        <f>P24/(D22-D20)</f>
        <v>-9.1793676954544726E-2</v>
      </c>
      <c r="Q47" s="26">
        <f>Q24/(E22-E20)</f>
        <v>0.94687713402801321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1.3649557371467484</v>
      </c>
      <c r="O48" s="26">
        <f>O24/I25</f>
        <v>-2.2006124948958758</v>
      </c>
      <c r="P48" s="26" t="e">
        <f>P24/J25</f>
        <v>#DIV/0!</v>
      </c>
      <c r="Q48" s="26" t="e">
        <f>Q24/K25</f>
        <v>#DIV/0!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10.93677533760742</v>
      </c>
      <c r="O49" s="26">
        <f>O24/(O18*-1)</f>
        <v>6.0982178217821783</v>
      </c>
      <c r="P49" s="26">
        <f>P24/(P18*-1)</f>
        <v>-0.22733739296920705</v>
      </c>
      <c r="Q49" s="26">
        <f>Q24/(Q18*-1)</f>
        <v>4.1294538598333084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-7.4524016049512448E-2</v>
      </c>
      <c r="I50" s="28">
        <f>LN(I13/J13)</f>
        <v>0.67779007322386919</v>
      </c>
      <c r="J50" s="28" t="e">
        <f>LN(J13/K13)</f>
        <v>#DIV/0!</v>
      </c>
      <c r="M50" s="2"/>
      <c r="N50" s="12"/>
      <c r="O50" s="12"/>
    </row>
    <row r="51" spans="1:26">
      <c r="A51" s="29" t="s">
        <v>57</v>
      </c>
      <c r="B51" s="30">
        <f>B23/B17</f>
        <v>4.536637783527028</v>
      </c>
      <c r="C51" s="30">
        <f>C23/C17</f>
        <v>4.6075527431877621</v>
      </c>
      <c r="D51" s="30">
        <f>D23/D17</f>
        <v>1.3923020910715731</v>
      </c>
      <c r="E51" s="30">
        <f>E23/E17</f>
        <v>0.47675834495950148</v>
      </c>
      <c r="G51" s="29" t="s">
        <v>58</v>
      </c>
      <c r="H51" s="31">
        <f>H13/H11</f>
        <v>0.6348414397678771</v>
      </c>
      <c r="I51" s="31">
        <f>I13/I11</f>
        <v>0.68510184979579447</v>
      </c>
      <c r="J51" s="31">
        <f>J13/J11</f>
        <v>0.77824523009973712</v>
      </c>
      <c r="K51" s="31" t="e">
        <f>K13/K11</f>
        <v>#DIV/0!</v>
      </c>
      <c r="M51" s="2" t="s">
        <v>59</v>
      </c>
      <c r="N51" s="32">
        <f>(N11-N24-N25)/B16</f>
        <v>1.8114585181939018E-2</v>
      </c>
      <c r="O51" s="32">
        <f>(O11-O24-O25)/C16</f>
        <v>4.6100210579268053E-2</v>
      </c>
      <c r="P51" s="32">
        <f>(P11-P24-P25)/D16</f>
        <v>0.17846760104835016</v>
      </c>
      <c r="Q51" s="32">
        <f>(Q11-Q24-Q25)/E16</f>
        <v>0.49618011795573297</v>
      </c>
    </row>
    <row r="52" spans="1:26">
      <c r="A52" s="29" t="s">
        <v>60</v>
      </c>
      <c r="B52" s="31">
        <f>H20/B16</f>
        <v>8.7443726933928267E-2</v>
      </c>
      <c r="C52" s="31">
        <f>I20/C16</f>
        <v>0.11048944852812452</v>
      </c>
      <c r="D52" s="31">
        <f>J20/D16</f>
        <v>4.0100068426058261E-2</v>
      </c>
      <c r="E52" s="31">
        <f>K20/E16</f>
        <v>-2.2525508487879264E-2</v>
      </c>
      <c r="F52" s="31"/>
      <c r="G52" s="29" t="s">
        <v>61</v>
      </c>
      <c r="H52" s="31">
        <f>H16/H11</f>
        <v>9.4560883144434185E-2</v>
      </c>
      <c r="I52" s="31">
        <f>I16/I11</f>
        <v>8.4715081977350476E-2</v>
      </c>
      <c r="J52" s="31">
        <f>J16/J11</f>
        <v>9.2574425536731689E-2</v>
      </c>
      <c r="K52" s="31" t="e">
        <f>K16/K11</f>
        <v>#DIV/0!</v>
      </c>
      <c r="M52" s="6"/>
    </row>
    <row r="53" spans="1:26">
      <c r="A53" s="29" t="s">
        <v>62</v>
      </c>
      <c r="B53" s="31">
        <f>H20/B20</f>
        <v>0.11432695121500797</v>
      </c>
      <c r="C53" s="31">
        <f>I20/C20</f>
        <v>0.14589476087721598</v>
      </c>
      <c r="D53" s="31">
        <f>J20/D20</f>
        <v>5.5633249977904746E-2</v>
      </c>
      <c r="E53" s="31">
        <f>K20/E20</f>
        <v>-2.7556903601315953E-2</v>
      </c>
      <c r="G53" s="29" t="s">
        <v>11</v>
      </c>
      <c r="H53" s="31">
        <f>H17/H11</f>
        <v>0.17218959319570212</v>
      </c>
      <c r="I53" s="31">
        <f>I17/I11</f>
        <v>0.16788702781861264</v>
      </c>
      <c r="J53" s="31">
        <f>J17/J11</f>
        <v>0.29174055767271628</v>
      </c>
      <c r="K53" s="31" t="e">
        <f>K17/K11</f>
        <v>#DIV/0!</v>
      </c>
      <c r="M53" s="6"/>
    </row>
    <row r="54" spans="1:26">
      <c r="A54" s="29" t="s">
        <v>63</v>
      </c>
      <c r="B54" s="30">
        <f>H11/B12</f>
        <v>7.7206707541651323</v>
      </c>
      <c r="C54" s="30">
        <f>I11/C12</f>
        <v>3.6282966528647478</v>
      </c>
      <c r="D54" s="30">
        <f>J11/D12</f>
        <v>2.1555332646532559</v>
      </c>
      <c r="E54" s="30">
        <f>K11/E12</f>
        <v>0</v>
      </c>
      <c r="G54" s="29" t="s">
        <v>64</v>
      </c>
      <c r="H54" s="31">
        <f>H25/H22</f>
        <v>1.0346467510964719</v>
      </c>
      <c r="I54" s="31">
        <f>I25/I22</f>
        <v>-0.33306586516884495</v>
      </c>
      <c r="J54" s="31">
        <f>J25/J22</f>
        <v>0</v>
      </c>
      <c r="K54" s="31">
        <f>K25/K22</f>
        <v>0</v>
      </c>
      <c r="M54" s="6"/>
    </row>
    <row r="55" spans="1:26">
      <c r="A55" s="29" t="s">
        <v>65</v>
      </c>
      <c r="B55" s="31">
        <f>(B22-B20)/B16</f>
        <v>0.23514336729335153</v>
      </c>
      <c r="C55" s="31">
        <f>(C22-C20)/C16</f>
        <v>0.24267706486656049</v>
      </c>
      <c r="D55" s="31">
        <f>(D22-D20)/D16</f>
        <v>0.27920679733820386</v>
      </c>
      <c r="E55" s="31">
        <f>(E22-E20)/E16</f>
        <v>0.18258201959948872</v>
      </c>
      <c r="G55" s="29" t="s">
        <v>66</v>
      </c>
      <c r="H55" s="31">
        <f>H22/H11</f>
        <v>0.31862454856424488</v>
      </c>
      <c r="I55" s="31">
        <f>I22/I11</f>
        <v>0.4133524843367466</v>
      </c>
      <c r="J55" s="31">
        <f>J22/J11</f>
        <v>0.31736658743035379</v>
      </c>
      <c r="K55" s="31" t="e">
        <f>K22/K11</f>
        <v>#DIV/0!</v>
      </c>
      <c r="L55" s="31"/>
      <c r="M55" s="6"/>
    </row>
    <row r="56" spans="1:26">
      <c r="A56" s="29" t="s">
        <v>67</v>
      </c>
      <c r="B56" s="31">
        <f>(B22-B20)/B20</f>
        <v>0.3074345664771635</v>
      </c>
      <c r="C56" s="31">
        <f>(C22-C20)/C20</f>
        <v>0.32044066488465855</v>
      </c>
      <c r="D56" s="31">
        <f>(D22-D20)/D20</f>
        <v>0.38736047496997644</v>
      </c>
      <c r="E56" s="31">
        <f>(E22-E20)/E20</f>
        <v>0.22336433009465828</v>
      </c>
      <c r="G56" s="33" t="s">
        <v>68</v>
      </c>
      <c r="H56" s="34">
        <f>H13/B16</f>
        <v>0.16387296321380324</v>
      </c>
      <c r="I56" s="34">
        <f>I13/C16</f>
        <v>0.17416413178389295</v>
      </c>
      <c r="J56" s="34">
        <f>J13/D16</f>
        <v>9.2749910626424445E-2</v>
      </c>
      <c r="K56" s="34">
        <f>K13/E16</f>
        <v>0</v>
      </c>
      <c r="M56" s="6"/>
    </row>
    <row r="57" spans="1:26">
      <c r="A57" s="29" t="s">
        <v>69</v>
      </c>
      <c r="B57" s="30">
        <f>H11/B16</f>
        <v>0.25813211449101625</v>
      </c>
      <c r="C57" s="30">
        <f>I11/C16</f>
        <v>0.25421640860523925</v>
      </c>
      <c r="D57" s="30">
        <f>J11/D16</f>
        <v>0.11917825775114349</v>
      </c>
      <c r="E57" s="30">
        <f>K11/E16</f>
        <v>0</v>
      </c>
      <c r="G57" s="33" t="s">
        <v>70</v>
      </c>
      <c r="H57" s="35">
        <f>H25/$B$5</f>
        <v>47.763864042933811</v>
      </c>
      <c r="I57" s="35">
        <f>I25/$B$5</f>
        <v>-19.91380712310945</v>
      </c>
      <c r="J57" s="35">
        <f>J25/$B$5</f>
        <v>0</v>
      </c>
      <c r="K57" s="35">
        <f>K25/$B$5</f>
        <v>0</v>
      </c>
      <c r="M57" s="6"/>
    </row>
    <row r="58" spans="1:26">
      <c r="A58" s="29" t="s">
        <v>71</v>
      </c>
      <c r="B58" s="30">
        <f>B16/B20</f>
        <v>1.3074345664771634</v>
      </c>
      <c r="C58" s="30">
        <f>C16/C20</f>
        <v>1.3204406648846585</v>
      </c>
      <c r="D58" s="30">
        <f>D16/D20</f>
        <v>1.3873604749699764</v>
      </c>
      <c r="E58" s="30">
        <f>E16/E20</f>
        <v>1.2233643300946582</v>
      </c>
      <c r="G58" s="36" t="s">
        <v>72</v>
      </c>
      <c r="H58" s="37">
        <f>H22/$B$7/1000</f>
        <v>0.81104285714285707</v>
      </c>
      <c r="I58" s="37">
        <f>I22/$B$7/1000</f>
        <v>1.0504142857142857</v>
      </c>
      <c r="J58" s="37">
        <f>J22/$B$7/1000</f>
        <v>0.36047857142857148</v>
      </c>
      <c r="K58" s="37">
        <f>K22/$B$7/1000</f>
        <v>-0.19129285714285715</v>
      </c>
      <c r="M58" s="6"/>
    </row>
    <row r="59" spans="1:26">
      <c r="G59" s="36" t="s">
        <v>73</v>
      </c>
      <c r="H59" s="37">
        <f>B20/$B$7/1000</f>
        <v>7.5422785714285707</v>
      </c>
      <c r="I59" s="37">
        <f>C20/$B$7/1000</f>
        <v>7.570378571428571</v>
      </c>
      <c r="J59" s="37">
        <f>D20/$B$7/1000</f>
        <v>6.8696071428571432</v>
      </c>
      <c r="K59" s="37">
        <f>E20/$B$7/1000</f>
        <v>6.5091285714285716</v>
      </c>
      <c r="M59" s="6"/>
    </row>
    <row r="60" spans="1:26">
      <c r="G60" s="33" t="s">
        <v>74</v>
      </c>
      <c r="H60" s="38">
        <f>SQRT(22.5*H58*H59)</f>
        <v>11.731794455394384</v>
      </c>
      <c r="I60" s="38">
        <f>SQRT(22.5*I58*I59)</f>
        <v>13.376126513049741</v>
      </c>
      <c r="J60" s="38">
        <f>SQRT(22.5*J58*J59)</f>
        <v>7.464434928746094</v>
      </c>
      <c r="K60" s="38" t="e">
        <f>SQRT(22.5*K58*K59)</f>
        <v>#NUM!</v>
      </c>
      <c r="M60" s="6"/>
    </row>
    <row r="61" spans="1:26">
      <c r="G61" s="33" t="s">
        <v>75</v>
      </c>
      <c r="H61" s="39">
        <f>H58-(B20*0.08/1000/$B$7)</f>
        <v>0.20766057142857131</v>
      </c>
      <c r="I61" s="39">
        <f>I58-(C20*0.08/1000/$B$7)</f>
        <v>0.44478400000000007</v>
      </c>
      <c r="J61" s="39">
        <f>J58-(D20*0.08/1000/$B$7)</f>
        <v>-0.18909000000000004</v>
      </c>
      <c r="K61" s="39">
        <f>K58-(E20*0.08/1000/$B$7)</f>
        <v>-0.71202314285714297</v>
      </c>
      <c r="M61" s="6"/>
    </row>
    <row r="62" spans="1:26">
      <c r="G62" s="40" t="s">
        <v>76</v>
      </c>
      <c r="H62" s="41">
        <f>H25/B7/1000</f>
        <v>0.83914285714285708</v>
      </c>
      <c r="I62" s="41">
        <f>I25/B7/1000</f>
        <v>-0.34985714285714281</v>
      </c>
      <c r="J62" s="41">
        <v>5.8</v>
      </c>
      <c r="K62" s="41">
        <v>5.17</v>
      </c>
      <c r="M62" s="6"/>
    </row>
    <row r="63" spans="1:26">
      <c r="A63" s="2"/>
      <c r="G63" s="61"/>
      <c r="H63" s="61"/>
      <c r="I63" s="61"/>
      <c r="J63" s="61"/>
      <c r="K63" s="61"/>
      <c r="M63" s="6"/>
    </row>
    <row r="64" spans="1:26">
      <c r="M64" s="6"/>
    </row>
    <row r="65" spans="7:13">
      <c r="M65" s="6"/>
    </row>
    <row r="66" spans="7:13">
      <c r="M66" s="6"/>
    </row>
    <row r="67" spans="7:13">
      <c r="M67" s="6"/>
    </row>
    <row r="68" spans="7:13">
      <c r="M68" s="6"/>
    </row>
    <row r="69" spans="7:13">
      <c r="M69" s="6"/>
    </row>
    <row r="70" spans="7:13">
      <c r="M70" s="6"/>
    </row>
    <row r="71" spans="7:13">
      <c r="M71" s="6"/>
    </row>
    <row r="72" spans="7:13">
      <c r="M72" s="6"/>
    </row>
    <row r="73" spans="7:13">
      <c r="M73" s="6"/>
    </row>
    <row r="74" spans="7:13">
      <c r="G74" s="2" t="s">
        <v>86</v>
      </c>
      <c r="H74" s="6">
        <f>H59*$B$7/$B$5</f>
        <v>0.42930517157261339</v>
      </c>
      <c r="I74" s="6">
        <f>I59*$B$7/$B$5</f>
        <v>0.43090461863717672</v>
      </c>
      <c r="J74" s="6">
        <f>J59*$B$7/$B$5</f>
        <v>0.3910168320052041</v>
      </c>
      <c r="K74" s="6">
        <f>K59*$B$7/$B$5</f>
        <v>0.37049845503333878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6.9376226634646043E-2</v>
      </c>
      <c r="I77" s="28">
        <f>(I15-I16)/$B$6</f>
        <v>8.1682675070364197E-2</v>
      </c>
      <c r="J77" s="28">
        <f>(J15-J16)/$B$6</f>
        <v>4.2799571280356052E-2</v>
      </c>
      <c r="K77" s="28">
        <f>(K15-K16)/$B$6</f>
        <v>5.5971307941638957E-4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zoomScaleNormal="100" workbookViewId="0"/>
  </sheetViews>
  <sheetFormatPr defaultRowHeight="15"/>
  <cols>
    <col min="1" max="12" width="15.140625"/>
    <col min="13" max="13" width="31.85546875"/>
    <col min="14" max="26" width="15.140625"/>
    <col min="27" max="1025" width="14.42578125"/>
  </cols>
  <sheetData>
    <row r="1" spans="1:17">
      <c r="A1" s="2"/>
      <c r="M1" s="6"/>
    </row>
    <row r="2" spans="1:17">
      <c r="A2" s="2"/>
      <c r="M2" s="6"/>
    </row>
    <row r="3" spans="1:17">
      <c r="A3" s="2"/>
      <c r="M3" s="6"/>
    </row>
    <row r="4" spans="1:17">
      <c r="A4" s="2"/>
      <c r="M4" s="6"/>
    </row>
    <row r="5" spans="1:17">
      <c r="A5" s="2"/>
      <c r="B5" s="68">
        <v>9277.7999999999993</v>
      </c>
      <c r="M5" s="6"/>
    </row>
    <row r="6" spans="1:17">
      <c r="A6" s="2"/>
      <c r="B6" s="4">
        <f>B5*1000+(B22-B20)-N23</f>
        <v>10014935</v>
      </c>
      <c r="M6" s="6"/>
    </row>
    <row r="7" spans="1:17">
      <c r="A7" s="2"/>
      <c r="B7" s="2">
        <v>140</v>
      </c>
      <c r="M7" s="6"/>
    </row>
    <row r="8" spans="1:17">
      <c r="M8" s="6"/>
    </row>
    <row r="9" spans="1:17">
      <c r="M9" s="6"/>
    </row>
    <row r="10" spans="1:17">
      <c r="A10" s="21" t="s">
        <v>3</v>
      </c>
      <c r="B10" s="22">
        <v>42369</v>
      </c>
      <c r="C10" s="22">
        <v>42004</v>
      </c>
      <c r="D10" s="22">
        <v>41639</v>
      </c>
      <c r="E10" s="22">
        <v>41274</v>
      </c>
      <c r="G10" s="21" t="s">
        <v>4</v>
      </c>
      <c r="H10" s="22">
        <v>42369</v>
      </c>
      <c r="I10" s="22">
        <v>42004</v>
      </c>
      <c r="J10" s="22">
        <v>41639</v>
      </c>
      <c r="K10" s="22">
        <v>41274</v>
      </c>
      <c r="M10" s="21" t="s">
        <v>5</v>
      </c>
      <c r="N10" s="22">
        <v>42369</v>
      </c>
      <c r="O10" s="22">
        <v>42004</v>
      </c>
      <c r="P10" s="22">
        <v>41639</v>
      </c>
      <c r="Q10" s="22">
        <v>41274</v>
      </c>
    </row>
    <row r="11" spans="1:17">
      <c r="A11" s="25" t="s">
        <v>6</v>
      </c>
      <c r="B11" s="56">
        <v>525341</v>
      </c>
      <c r="C11" s="56">
        <v>346343</v>
      </c>
      <c r="D11" s="56">
        <v>251031</v>
      </c>
      <c r="E11" s="56">
        <v>503881</v>
      </c>
      <c r="G11" s="25" t="s">
        <v>7</v>
      </c>
      <c r="H11" s="56">
        <v>2047274</v>
      </c>
      <c r="I11" s="56">
        <v>1878346</v>
      </c>
      <c r="J11" s="56">
        <v>1775144</v>
      </c>
      <c r="K11" s="56">
        <v>1805272</v>
      </c>
      <c r="M11" s="25" t="s">
        <v>8</v>
      </c>
      <c r="N11" s="56">
        <v>1038612</v>
      </c>
      <c r="O11" s="56">
        <v>1045419</v>
      </c>
      <c r="P11" s="56">
        <v>1006093</v>
      </c>
      <c r="Q11" s="56">
        <v>1000201</v>
      </c>
    </row>
    <row r="12" spans="1:17">
      <c r="A12" s="25" t="s">
        <v>9</v>
      </c>
      <c r="B12" s="56">
        <v>519043</v>
      </c>
      <c r="C12" s="56">
        <v>620957</v>
      </c>
      <c r="D12" s="56">
        <v>684761</v>
      </c>
      <c r="E12" s="56">
        <v>170816</v>
      </c>
      <c r="G12" s="25" t="s">
        <v>10</v>
      </c>
      <c r="H12" s="56">
        <v>937915</v>
      </c>
      <c r="I12" s="56">
        <v>883208</v>
      </c>
      <c r="J12" s="56">
        <v>762293</v>
      </c>
      <c r="K12" s="56">
        <v>754361</v>
      </c>
      <c r="M12" s="25" t="s">
        <v>11</v>
      </c>
      <c r="N12" s="56">
        <v>169198</v>
      </c>
      <c r="O12" s="56">
        <v>162961</v>
      </c>
      <c r="P12" s="56">
        <v>149963</v>
      </c>
      <c r="Q12" s="56">
        <v>148648</v>
      </c>
    </row>
    <row r="13" spans="1:17">
      <c r="A13" s="25" t="s">
        <v>12</v>
      </c>
      <c r="B13" s="57"/>
      <c r="C13" s="57"/>
      <c r="D13" s="56">
        <v>117611</v>
      </c>
      <c r="E13" s="56">
        <v>116749</v>
      </c>
      <c r="G13" s="25" t="s">
        <v>13</v>
      </c>
      <c r="H13" s="56">
        <v>1109359</v>
      </c>
      <c r="I13" s="56">
        <v>995138</v>
      </c>
      <c r="J13" s="56">
        <v>1012851</v>
      </c>
      <c r="K13" s="56">
        <v>1050911</v>
      </c>
      <c r="M13" s="25" t="s">
        <v>14</v>
      </c>
      <c r="N13" s="58">
        <v>-3241</v>
      </c>
      <c r="O13" s="58">
        <v>-12469</v>
      </c>
      <c r="P13" s="56">
        <v>1800</v>
      </c>
      <c r="Q13" s="56">
        <v>34245</v>
      </c>
    </row>
    <row r="14" spans="1:17">
      <c r="A14" s="25" t="s">
        <v>15</v>
      </c>
      <c r="B14" s="56">
        <v>3354570</v>
      </c>
      <c r="C14" s="56">
        <v>2922241</v>
      </c>
      <c r="D14" s="56">
        <v>2322691</v>
      </c>
      <c r="E14" s="56">
        <v>2372999</v>
      </c>
      <c r="G14" s="25" t="s">
        <v>16</v>
      </c>
      <c r="H14" s="56">
        <v>12517</v>
      </c>
      <c r="I14" s="56">
        <v>124253</v>
      </c>
      <c r="J14" s="56">
        <v>58911</v>
      </c>
      <c r="K14" s="56">
        <v>15897</v>
      </c>
      <c r="M14" s="25" t="s">
        <v>9</v>
      </c>
      <c r="N14" s="56">
        <v>101913</v>
      </c>
      <c r="O14" s="56">
        <v>63804</v>
      </c>
      <c r="P14" s="58">
        <v>-243703</v>
      </c>
      <c r="Q14" s="56">
        <v>4710</v>
      </c>
    </row>
    <row r="15" spans="1:17">
      <c r="A15" s="25" t="s">
        <v>17</v>
      </c>
      <c r="B15" s="57"/>
      <c r="C15" s="57"/>
      <c r="D15" s="57"/>
      <c r="E15" s="57"/>
      <c r="G15" s="25" t="s">
        <v>18</v>
      </c>
      <c r="H15" s="56">
        <v>1121876</v>
      </c>
      <c r="I15" s="56">
        <v>1119391</v>
      </c>
      <c r="J15" s="56">
        <v>1071762</v>
      </c>
      <c r="K15" s="56">
        <v>1066808</v>
      </c>
      <c r="M15" s="25" t="s">
        <v>19</v>
      </c>
      <c r="N15" s="58">
        <v>-21631</v>
      </c>
      <c r="O15" s="56">
        <v>73837</v>
      </c>
      <c r="P15" s="58">
        <v>-89416</v>
      </c>
      <c r="Q15" s="57"/>
    </row>
    <row r="16" spans="1:17">
      <c r="A16" s="25" t="s">
        <v>20</v>
      </c>
      <c r="B16" s="56">
        <v>4398954</v>
      </c>
      <c r="C16" s="56">
        <v>3889541</v>
      </c>
      <c r="D16" s="56">
        <v>3376094</v>
      </c>
      <c r="E16" s="56">
        <v>3164445</v>
      </c>
      <c r="G16" s="25" t="s">
        <v>21</v>
      </c>
      <c r="H16" s="56">
        <v>56326</v>
      </c>
      <c r="I16" s="56">
        <v>46700</v>
      </c>
      <c r="J16" s="56">
        <v>39520</v>
      </c>
      <c r="K16" s="56">
        <v>40396</v>
      </c>
      <c r="M16" s="25" t="s">
        <v>22</v>
      </c>
      <c r="N16" s="56">
        <v>29282</v>
      </c>
      <c r="O16" s="58">
        <v>-40016</v>
      </c>
      <c r="P16" s="56">
        <v>41638</v>
      </c>
      <c r="Q16" s="56">
        <v>69705</v>
      </c>
    </row>
    <row r="17" spans="1:26">
      <c r="A17" s="25" t="s">
        <v>23</v>
      </c>
      <c r="B17" s="56">
        <v>632868</v>
      </c>
      <c r="C17" s="56">
        <v>325915</v>
      </c>
      <c r="D17" s="56">
        <v>517353</v>
      </c>
      <c r="E17" s="56">
        <v>336663</v>
      </c>
      <c r="G17" s="25" t="s">
        <v>11</v>
      </c>
      <c r="H17" s="57"/>
      <c r="I17" s="59"/>
      <c r="J17" s="57"/>
      <c r="K17" s="57"/>
      <c r="M17" s="25" t="s">
        <v>24</v>
      </c>
      <c r="N17" s="56">
        <v>3106</v>
      </c>
      <c r="O17" s="58">
        <v>-104186</v>
      </c>
      <c r="P17" s="56">
        <v>6695</v>
      </c>
      <c r="Q17" s="58">
        <v>-7004</v>
      </c>
    </row>
    <row r="18" spans="1:26">
      <c r="A18" s="25" t="s">
        <v>25</v>
      </c>
      <c r="B18" s="56">
        <v>538297</v>
      </c>
      <c r="C18" s="56">
        <v>602650</v>
      </c>
      <c r="D18" s="56">
        <v>97144</v>
      </c>
      <c r="E18" s="56">
        <v>91341</v>
      </c>
      <c r="G18" s="25" t="s">
        <v>26</v>
      </c>
      <c r="H18" s="57"/>
      <c r="I18" s="57"/>
      <c r="J18" s="57"/>
      <c r="K18" s="57"/>
      <c r="M18" s="25" t="s">
        <v>27</v>
      </c>
      <c r="N18" s="58">
        <v>-603944</v>
      </c>
      <c r="O18" s="58">
        <v>-763978</v>
      </c>
      <c r="P18" s="58">
        <v>-373378</v>
      </c>
      <c r="Q18" s="58">
        <v>-69608</v>
      </c>
    </row>
    <row r="19" spans="1:26">
      <c r="A19" s="25" t="s">
        <v>28</v>
      </c>
      <c r="B19" s="57"/>
      <c r="C19" s="57"/>
      <c r="D19" s="57"/>
      <c r="E19" s="57"/>
      <c r="G19" s="25" t="s">
        <v>29</v>
      </c>
      <c r="H19" s="56">
        <v>56326</v>
      </c>
      <c r="I19" s="56">
        <v>46700</v>
      </c>
      <c r="J19" s="56">
        <v>39520</v>
      </c>
      <c r="K19" s="56">
        <v>40396</v>
      </c>
      <c r="M19" s="25" t="s">
        <v>30</v>
      </c>
      <c r="N19" s="56">
        <v>5659</v>
      </c>
      <c r="O19" s="56">
        <v>226831</v>
      </c>
      <c r="P19" s="56">
        <v>3638</v>
      </c>
      <c r="Q19" s="58">
        <v>-336067</v>
      </c>
    </row>
    <row r="20" spans="1:26">
      <c r="A20" s="25" t="s">
        <v>31</v>
      </c>
      <c r="B20" s="56">
        <v>3227789</v>
      </c>
      <c r="C20" s="56">
        <v>2960976</v>
      </c>
      <c r="D20" s="56">
        <v>2761597</v>
      </c>
      <c r="E20" s="56">
        <v>2736441</v>
      </c>
      <c r="G20" s="25" t="s">
        <v>32</v>
      </c>
      <c r="H20" s="56">
        <v>1065550</v>
      </c>
      <c r="I20" s="56">
        <v>1072691</v>
      </c>
      <c r="J20" s="56">
        <v>1032242</v>
      </c>
      <c r="K20" s="56">
        <v>1026412</v>
      </c>
      <c r="M20" s="25" t="s">
        <v>33</v>
      </c>
      <c r="N20" s="57"/>
      <c r="O20" s="57"/>
      <c r="P20" s="57"/>
      <c r="Q20" s="57"/>
    </row>
    <row r="21" spans="1:26">
      <c r="A21" s="25" t="s">
        <v>34</v>
      </c>
      <c r="B21" s="59"/>
      <c r="C21" s="59"/>
      <c r="D21" s="57"/>
      <c r="E21" s="59"/>
      <c r="G21" s="25" t="s">
        <v>35</v>
      </c>
      <c r="H21" s="56">
        <v>26938</v>
      </c>
      <c r="I21" s="56">
        <v>27272</v>
      </c>
      <c r="J21" s="56">
        <v>26150</v>
      </c>
      <c r="K21" s="56">
        <v>26211</v>
      </c>
      <c r="M21" s="25" t="s">
        <v>36</v>
      </c>
      <c r="N21" s="58">
        <v>-564259</v>
      </c>
      <c r="O21" s="58">
        <v>-467890</v>
      </c>
      <c r="P21" s="58">
        <v>-843795</v>
      </c>
      <c r="Q21" s="58">
        <v>-908128</v>
      </c>
    </row>
    <row r="22" spans="1:26">
      <c r="A22" s="25" t="s">
        <v>37</v>
      </c>
      <c r="B22" s="56">
        <v>4398954</v>
      </c>
      <c r="C22" s="56">
        <v>3889541</v>
      </c>
      <c r="D22" s="56">
        <v>3376094</v>
      </c>
      <c r="E22" s="56">
        <v>3164445</v>
      </c>
      <c r="G22" s="25" t="s">
        <v>8</v>
      </c>
      <c r="H22" s="56">
        <v>1038612</v>
      </c>
      <c r="I22" s="56">
        <v>1045419</v>
      </c>
      <c r="J22" s="56">
        <v>1006092</v>
      </c>
      <c r="K22" s="56">
        <v>1000201</v>
      </c>
      <c r="M22" s="25" t="s">
        <v>38</v>
      </c>
      <c r="N22" s="56">
        <v>279335</v>
      </c>
      <c r="O22" s="56">
        <v>94942</v>
      </c>
      <c r="P22" s="56">
        <v>435407</v>
      </c>
      <c r="Q22" s="56">
        <v>498705</v>
      </c>
    </row>
    <row r="23" spans="1:26">
      <c r="G23" s="25" t="s">
        <v>39</v>
      </c>
      <c r="H23" s="56">
        <v>860977</v>
      </c>
      <c r="I23" s="56">
        <v>657357</v>
      </c>
      <c r="J23" s="56">
        <v>73065</v>
      </c>
      <c r="K23" s="56">
        <v>54663</v>
      </c>
      <c r="M23" s="25" t="s">
        <v>40</v>
      </c>
      <c r="N23" s="56">
        <v>434030</v>
      </c>
      <c r="O23" s="56">
        <v>279255</v>
      </c>
      <c r="P23" s="56">
        <v>94942</v>
      </c>
      <c r="Q23" s="56">
        <v>435407</v>
      </c>
    </row>
    <row r="24" spans="1:26">
      <c r="G24" s="25" t="s">
        <v>41</v>
      </c>
      <c r="H24" s="57"/>
      <c r="I24" s="57"/>
      <c r="J24" s="57"/>
      <c r="K24" s="57"/>
      <c r="M24" s="2" t="s">
        <v>42</v>
      </c>
      <c r="N24" s="12">
        <f>SUM(N11:N17)</f>
        <v>1317239</v>
      </c>
      <c r="O24" s="12">
        <f>SUM(O11:O17)</f>
        <v>1189350</v>
      </c>
      <c r="P24" s="12">
        <f>SUM(P11:P17)</f>
        <v>873070</v>
      </c>
      <c r="Q24" s="12">
        <f>SUM(Q11:Q17)</f>
        <v>1250505</v>
      </c>
    </row>
    <row r="25" spans="1:26">
      <c r="G25" s="25" t="s">
        <v>43</v>
      </c>
      <c r="H25" s="56">
        <v>770000</v>
      </c>
      <c r="I25" s="56">
        <v>840000</v>
      </c>
      <c r="J25" s="56">
        <v>420000</v>
      </c>
      <c r="K25" s="56">
        <v>980000</v>
      </c>
      <c r="M25" s="2" t="s">
        <v>44</v>
      </c>
      <c r="N25" s="12">
        <f>N18+N19</f>
        <v>-598285</v>
      </c>
      <c r="O25" s="12">
        <f>O18+O19</f>
        <v>-537147</v>
      </c>
      <c r="P25" s="12">
        <f>P18+P19</f>
        <v>-369740</v>
      </c>
      <c r="Q25" s="12">
        <f>Q18+Q19</f>
        <v>-405675</v>
      </c>
    </row>
    <row r="26" spans="1:26">
      <c r="G26" s="25" t="s">
        <v>45</v>
      </c>
      <c r="H26" s="56">
        <v>1800</v>
      </c>
      <c r="I26" s="56">
        <v>1800</v>
      </c>
      <c r="J26" s="56">
        <v>1800</v>
      </c>
      <c r="K26" s="56">
        <v>1800</v>
      </c>
      <c r="M26" s="2" t="s">
        <v>46</v>
      </c>
      <c r="N26" s="12">
        <f>N20+N21</f>
        <v>-564259</v>
      </c>
      <c r="O26" s="12">
        <f>O20+O21</f>
        <v>-467890</v>
      </c>
      <c r="P26" s="12">
        <f>P20+P21</f>
        <v>-843795</v>
      </c>
      <c r="Q26" s="12">
        <f>Q20+Q21</f>
        <v>-908128</v>
      </c>
    </row>
    <row r="27" spans="1:26">
      <c r="G27" s="25" t="s">
        <v>47</v>
      </c>
      <c r="H27" s="56">
        <v>1127789</v>
      </c>
      <c r="I27" s="56">
        <v>860976</v>
      </c>
      <c r="J27" s="56">
        <v>657357</v>
      </c>
      <c r="K27" s="56">
        <v>73064</v>
      </c>
      <c r="M27" s="2" t="s">
        <v>48</v>
      </c>
      <c r="N27" s="12">
        <f>N24+N25+N26</f>
        <v>154695</v>
      </c>
      <c r="O27" s="12">
        <f>O24+O25+O26</f>
        <v>184313</v>
      </c>
      <c r="P27" s="12">
        <f>P24+P25+P26</f>
        <v>-340465</v>
      </c>
      <c r="Q27" s="12">
        <f>Q24+Q25+Q26</f>
        <v>-63298</v>
      </c>
    </row>
    <row r="28" spans="1:26">
      <c r="M28" s="2"/>
      <c r="N28" s="12"/>
      <c r="O28" s="12"/>
    </row>
    <row r="29" spans="1:26">
      <c r="A29" s="20" t="s">
        <v>3</v>
      </c>
      <c r="B29" s="9">
        <v>42369</v>
      </c>
      <c r="C29" s="9">
        <v>42004</v>
      </c>
      <c r="D29" s="9">
        <v>41639</v>
      </c>
      <c r="E29" s="9">
        <v>41274</v>
      </c>
      <c r="F29" s="6"/>
      <c r="G29" s="21" t="s">
        <v>4</v>
      </c>
      <c r="H29" s="22">
        <v>42369</v>
      </c>
      <c r="I29" s="22">
        <v>42004</v>
      </c>
      <c r="J29" s="22">
        <v>41639</v>
      </c>
      <c r="K29" s="22">
        <v>41274</v>
      </c>
      <c r="L29" s="6"/>
      <c r="M29" s="21" t="s">
        <v>5</v>
      </c>
      <c r="N29" s="22">
        <v>42369</v>
      </c>
      <c r="O29" s="22">
        <v>42004</v>
      </c>
      <c r="P29" s="22">
        <v>41639</v>
      </c>
      <c r="Q29" s="22">
        <v>41274</v>
      </c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3" t="s">
        <v>6</v>
      </c>
      <c r="B30" s="24">
        <f t="shared" ref="B30:E41" si="0">B11/B$16</f>
        <v>0.11942407217715847</v>
      </c>
      <c r="C30" s="24">
        <f t="shared" si="0"/>
        <v>8.9044697047800755E-2</v>
      </c>
      <c r="D30" s="24">
        <f t="shared" si="0"/>
        <v>7.4355453373039962E-2</v>
      </c>
      <c r="E30" s="24">
        <f t="shared" si="0"/>
        <v>0.15923202962920829</v>
      </c>
      <c r="F30" s="6"/>
      <c r="G30" s="25" t="s">
        <v>7</v>
      </c>
      <c r="H30" s="24">
        <f t="shared" ref="H30:K46" si="1">H11/H$11</f>
        <v>1</v>
      </c>
      <c r="I30" s="24">
        <f t="shared" si="1"/>
        <v>1</v>
      </c>
      <c r="J30" s="24">
        <f t="shared" si="1"/>
        <v>1</v>
      </c>
      <c r="K30" s="24">
        <f t="shared" si="1"/>
        <v>1</v>
      </c>
      <c r="L30" s="6"/>
      <c r="M30" s="25" t="s">
        <v>8</v>
      </c>
      <c r="N30" s="26">
        <f t="shared" ref="N30:N42" si="2">N11/H$11</f>
        <v>0.50731460468896694</v>
      </c>
      <c r="O30" s="26">
        <f t="shared" ref="O30:O42" si="3">O11/I$11</f>
        <v>0.55656359371489594</v>
      </c>
      <c r="P30" s="26">
        <f t="shared" ref="P30:P42" si="4">P11/J$11</f>
        <v>0.56676697777757745</v>
      </c>
      <c r="Q30" s="26">
        <f t="shared" ref="Q30:Q42" si="5">Q11/K$11</f>
        <v>0.55404448747889512</v>
      </c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3" t="s">
        <v>9</v>
      </c>
      <c r="B31" s="24">
        <f t="shared" si="0"/>
        <v>0.1179923681857096</v>
      </c>
      <c r="C31" s="24">
        <f t="shared" si="0"/>
        <v>0.15964788647297973</v>
      </c>
      <c r="D31" s="24">
        <f t="shared" si="0"/>
        <v>0.20282640234543234</v>
      </c>
      <c r="E31" s="24">
        <f t="shared" si="0"/>
        <v>5.3979765804114149E-2</v>
      </c>
      <c r="F31" s="6"/>
      <c r="G31" s="25" t="s">
        <v>10</v>
      </c>
      <c r="H31" s="24">
        <f t="shared" si="1"/>
        <v>0.45812871164289687</v>
      </c>
      <c r="I31" s="24">
        <f t="shared" si="1"/>
        <v>0.47020516986753241</v>
      </c>
      <c r="J31" s="24">
        <f t="shared" si="1"/>
        <v>0.42942600712956247</v>
      </c>
      <c r="K31" s="24">
        <f t="shared" si="1"/>
        <v>0.41786556264097596</v>
      </c>
      <c r="L31" s="6"/>
      <c r="M31" s="25" t="s">
        <v>11</v>
      </c>
      <c r="N31" s="26">
        <f t="shared" si="2"/>
        <v>8.2645508124462086E-2</v>
      </c>
      <c r="O31" s="26">
        <f t="shared" si="3"/>
        <v>8.6757711305584809E-2</v>
      </c>
      <c r="P31" s="26">
        <f t="shared" si="4"/>
        <v>8.4479343647613947E-2</v>
      </c>
      <c r="Q31" s="26">
        <f t="shared" si="5"/>
        <v>8.2341054422823814E-2</v>
      </c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3" t="s">
        <v>12</v>
      </c>
      <c r="B32" s="24">
        <f t="shared" si="0"/>
        <v>0</v>
      </c>
      <c r="C32" s="24">
        <f t="shared" si="0"/>
        <v>0</v>
      </c>
      <c r="D32" s="24">
        <f t="shared" si="0"/>
        <v>3.4836411545413129E-2</v>
      </c>
      <c r="E32" s="24">
        <f t="shared" si="0"/>
        <v>3.6893989309341763E-2</v>
      </c>
      <c r="F32" s="6"/>
      <c r="G32" s="25" t="s">
        <v>13</v>
      </c>
      <c r="H32" s="24">
        <f t="shared" si="1"/>
        <v>0.54187128835710319</v>
      </c>
      <c r="I32" s="24">
        <f t="shared" si="1"/>
        <v>0.52979483013246764</v>
      </c>
      <c r="J32" s="24">
        <f t="shared" si="1"/>
        <v>0.57057399287043753</v>
      </c>
      <c r="K32" s="24">
        <f t="shared" si="1"/>
        <v>0.58213443735902404</v>
      </c>
      <c r="L32" s="6"/>
      <c r="M32" s="25" t="s">
        <v>14</v>
      </c>
      <c r="N32" s="26">
        <f t="shared" si="2"/>
        <v>-1.5830807209977755E-3</v>
      </c>
      <c r="O32" s="26">
        <f t="shared" si="3"/>
        <v>-6.638287088747228E-3</v>
      </c>
      <c r="P32" s="26">
        <f t="shared" si="4"/>
        <v>1.0140022443249673E-3</v>
      </c>
      <c r="Q32" s="26">
        <f t="shared" si="5"/>
        <v>1.8969440616150919E-2</v>
      </c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3" t="s">
        <v>15</v>
      </c>
      <c r="B33" s="24">
        <f t="shared" si="0"/>
        <v>0.76258355963713187</v>
      </c>
      <c r="C33" s="24">
        <f t="shared" si="0"/>
        <v>0.7513074164792195</v>
      </c>
      <c r="D33" s="24">
        <f t="shared" si="0"/>
        <v>0.68798173273611463</v>
      </c>
      <c r="E33" s="24">
        <f t="shared" si="0"/>
        <v>0.74989421525733579</v>
      </c>
      <c r="F33" s="6"/>
      <c r="G33" s="25" t="s">
        <v>16</v>
      </c>
      <c r="H33" s="24">
        <f t="shared" si="1"/>
        <v>6.1139837657294529E-3</v>
      </c>
      <c r="I33" s="24">
        <f t="shared" si="1"/>
        <v>6.6150219395148716E-2</v>
      </c>
      <c r="J33" s="24">
        <f t="shared" si="1"/>
        <v>3.3186603453015641E-2</v>
      </c>
      <c r="K33" s="24">
        <f t="shared" si="1"/>
        <v>8.8058752365294535E-3</v>
      </c>
      <c r="L33" s="6"/>
      <c r="M33" s="25" t="s">
        <v>9</v>
      </c>
      <c r="N33" s="26">
        <f t="shared" si="2"/>
        <v>4.9779853600446254E-2</v>
      </c>
      <c r="O33" s="26">
        <f t="shared" si="3"/>
        <v>3.3968182645795819E-2</v>
      </c>
      <c r="P33" s="26">
        <f t="shared" si="4"/>
        <v>-0.13728632719373751</v>
      </c>
      <c r="Q33" s="26">
        <f t="shared" si="5"/>
        <v>2.609025121976079E-3</v>
      </c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3" t="s">
        <v>17</v>
      </c>
      <c r="B34" s="24">
        <f t="shared" si="0"/>
        <v>0</v>
      </c>
      <c r="C34" s="24">
        <f t="shared" si="0"/>
        <v>0</v>
      </c>
      <c r="D34" s="24">
        <f t="shared" si="0"/>
        <v>0</v>
      </c>
      <c r="E34" s="24">
        <f t="shared" si="0"/>
        <v>0</v>
      </c>
      <c r="F34" s="6"/>
      <c r="G34" s="25" t="s">
        <v>18</v>
      </c>
      <c r="H34" s="24">
        <f t="shared" si="1"/>
        <v>0.54798527212283266</v>
      </c>
      <c r="I34" s="24">
        <f t="shared" si="1"/>
        <v>0.59594504952761629</v>
      </c>
      <c r="J34" s="24">
        <f t="shared" si="1"/>
        <v>0.60376059632345325</v>
      </c>
      <c r="K34" s="24">
        <f t="shared" si="1"/>
        <v>0.59094031259555346</v>
      </c>
      <c r="L34" s="6"/>
      <c r="M34" s="25" t="s">
        <v>19</v>
      </c>
      <c r="N34" s="26">
        <f t="shared" si="2"/>
        <v>-1.0565757197131405E-2</v>
      </c>
      <c r="O34" s="26">
        <f t="shared" si="3"/>
        <v>3.9309584070240523E-2</v>
      </c>
      <c r="P34" s="26">
        <f t="shared" si="4"/>
        <v>-5.037112482142294E-2</v>
      </c>
      <c r="Q34" s="26">
        <f t="shared" si="5"/>
        <v>0</v>
      </c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3" t="s">
        <v>20</v>
      </c>
      <c r="B35" s="24">
        <f t="shared" si="0"/>
        <v>1</v>
      </c>
      <c r="C35" s="24">
        <f t="shared" si="0"/>
        <v>1</v>
      </c>
      <c r="D35" s="24">
        <f t="shared" si="0"/>
        <v>1</v>
      </c>
      <c r="E35" s="24">
        <f t="shared" si="0"/>
        <v>1</v>
      </c>
      <c r="F35" s="6"/>
      <c r="G35" s="25" t="s">
        <v>21</v>
      </c>
      <c r="H35" s="24">
        <f t="shared" si="1"/>
        <v>2.7512682718580903E-2</v>
      </c>
      <c r="I35" s="24">
        <f t="shared" si="1"/>
        <v>2.4862299065241442E-2</v>
      </c>
      <c r="J35" s="24">
        <f t="shared" si="1"/>
        <v>2.2262982608734841E-2</v>
      </c>
      <c r="K35" s="24">
        <f t="shared" si="1"/>
        <v>2.237668340283348E-2</v>
      </c>
      <c r="L35" s="6"/>
      <c r="M35" s="25" t="s">
        <v>22</v>
      </c>
      <c r="N35" s="26">
        <f t="shared" si="2"/>
        <v>1.430292183654948E-2</v>
      </c>
      <c r="O35" s="26">
        <f t="shared" si="3"/>
        <v>-2.1303849237573908E-2</v>
      </c>
      <c r="P35" s="26">
        <f t="shared" si="4"/>
        <v>2.345612524955722E-2</v>
      </c>
      <c r="Q35" s="26">
        <f t="shared" si="5"/>
        <v>3.8611910005805217E-2</v>
      </c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3" t="s">
        <v>23</v>
      </c>
      <c r="B36" s="24">
        <f t="shared" si="0"/>
        <v>0.14386783767231937</v>
      </c>
      <c r="C36" s="24">
        <f t="shared" si="0"/>
        <v>8.3792663453091248E-2</v>
      </c>
      <c r="D36" s="24">
        <f t="shared" si="0"/>
        <v>0.15324010528142878</v>
      </c>
      <c r="E36" s="24">
        <f t="shared" si="0"/>
        <v>0.10638927205244522</v>
      </c>
      <c r="F36" s="6"/>
      <c r="G36" s="25" t="s">
        <v>11</v>
      </c>
      <c r="H36" s="24">
        <f t="shared" si="1"/>
        <v>0</v>
      </c>
      <c r="I36" s="24">
        <f t="shared" si="1"/>
        <v>0</v>
      </c>
      <c r="J36" s="24">
        <f t="shared" si="1"/>
        <v>0</v>
      </c>
      <c r="K36" s="24">
        <f t="shared" si="1"/>
        <v>0</v>
      </c>
      <c r="L36" s="6"/>
      <c r="M36" s="25" t="s">
        <v>24</v>
      </c>
      <c r="N36" s="26">
        <f t="shared" si="2"/>
        <v>1.5171393765563378E-3</v>
      </c>
      <c r="O36" s="26">
        <f t="shared" si="3"/>
        <v>-5.5466884162981685E-2</v>
      </c>
      <c r="P36" s="26">
        <f t="shared" si="4"/>
        <v>3.7715250143086983E-3</v>
      </c>
      <c r="Q36" s="26">
        <f t="shared" si="5"/>
        <v>-3.8797477610022202E-3</v>
      </c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3" t="s">
        <v>25</v>
      </c>
      <c r="B37" s="24">
        <f t="shared" si="0"/>
        <v>0.12236931779691262</v>
      </c>
      <c r="C37" s="24">
        <f t="shared" si="0"/>
        <v>0.15494116143781489</v>
      </c>
      <c r="D37" s="24">
        <f t="shared" si="0"/>
        <v>2.8774080342549704E-2</v>
      </c>
      <c r="E37" s="24">
        <f t="shared" si="0"/>
        <v>2.8864777235818602E-2</v>
      </c>
      <c r="F37" s="6"/>
      <c r="G37" s="25" t="s">
        <v>26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6"/>
      <c r="M37" s="25" t="s">
        <v>27</v>
      </c>
      <c r="N37" s="26">
        <f t="shared" si="2"/>
        <v>-0.29499910612844199</v>
      </c>
      <c r="O37" s="26">
        <f t="shared" si="3"/>
        <v>-0.40672911167591064</v>
      </c>
      <c r="P37" s="26">
        <f t="shared" si="4"/>
        <v>-0.2103367388786487</v>
      </c>
      <c r="Q37" s="26">
        <f t="shared" si="5"/>
        <v>-3.8558178490554332E-2</v>
      </c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3" t="s">
        <v>28</v>
      </c>
      <c r="B38" s="24">
        <f t="shared" si="0"/>
        <v>0</v>
      </c>
      <c r="C38" s="24">
        <f t="shared" si="0"/>
        <v>0</v>
      </c>
      <c r="D38" s="24">
        <f t="shared" si="0"/>
        <v>0</v>
      </c>
      <c r="E38" s="24">
        <f t="shared" si="0"/>
        <v>0</v>
      </c>
      <c r="F38" s="6"/>
      <c r="G38" s="25" t="s">
        <v>29</v>
      </c>
      <c r="H38" s="24">
        <f t="shared" si="1"/>
        <v>2.7512682718580903E-2</v>
      </c>
      <c r="I38" s="24">
        <f t="shared" si="1"/>
        <v>2.4862299065241442E-2</v>
      </c>
      <c r="J38" s="24">
        <f t="shared" si="1"/>
        <v>2.2262982608734841E-2</v>
      </c>
      <c r="K38" s="24">
        <f t="shared" si="1"/>
        <v>2.237668340283348E-2</v>
      </c>
      <c r="L38" s="6"/>
      <c r="M38" s="25" t="s">
        <v>30</v>
      </c>
      <c r="N38" s="26">
        <f t="shared" si="2"/>
        <v>2.7641634681044159E-3</v>
      </c>
      <c r="O38" s="26">
        <f t="shared" si="3"/>
        <v>0.1207610312477041</v>
      </c>
      <c r="P38" s="26">
        <f t="shared" si="4"/>
        <v>2.0494112026967952E-3</v>
      </c>
      <c r="Q38" s="26">
        <f t="shared" si="5"/>
        <v>-0.18615865088474201</v>
      </c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3" t="s">
        <v>31</v>
      </c>
      <c r="B39" s="24">
        <f t="shared" si="0"/>
        <v>0.73376284453076801</v>
      </c>
      <c r="C39" s="24">
        <f t="shared" si="0"/>
        <v>0.76126617510909389</v>
      </c>
      <c r="D39" s="24">
        <f t="shared" si="0"/>
        <v>0.81798581437602147</v>
      </c>
      <c r="E39" s="24">
        <f t="shared" si="0"/>
        <v>0.86474595071173621</v>
      </c>
      <c r="F39" s="6"/>
      <c r="G39" s="25" t="s">
        <v>32</v>
      </c>
      <c r="H39" s="24">
        <f t="shared" si="1"/>
        <v>0.52047258940425167</v>
      </c>
      <c r="I39" s="24">
        <f t="shared" si="1"/>
        <v>0.57108275046237489</v>
      </c>
      <c r="J39" s="24">
        <f t="shared" si="1"/>
        <v>0.58149761371471831</v>
      </c>
      <c r="K39" s="24">
        <f t="shared" si="1"/>
        <v>0.56856362919271997</v>
      </c>
      <c r="L39" s="6"/>
      <c r="M39" s="25" t="s">
        <v>33</v>
      </c>
      <c r="N39" s="26">
        <f t="shared" si="2"/>
        <v>0</v>
      </c>
      <c r="O39" s="26">
        <f t="shared" si="3"/>
        <v>0</v>
      </c>
      <c r="P39" s="26">
        <f t="shared" si="4"/>
        <v>0</v>
      </c>
      <c r="Q39" s="26">
        <f t="shared" si="5"/>
        <v>0</v>
      </c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3" t="s">
        <v>34</v>
      </c>
      <c r="B40" s="24">
        <f t="shared" si="0"/>
        <v>0</v>
      </c>
      <c r="C40" s="24">
        <f t="shared" si="0"/>
        <v>0</v>
      </c>
      <c r="D40" s="24">
        <f t="shared" si="0"/>
        <v>0</v>
      </c>
      <c r="E40" s="24">
        <f t="shared" si="0"/>
        <v>0</v>
      </c>
      <c r="F40" s="6"/>
      <c r="G40" s="25" t="s">
        <v>35</v>
      </c>
      <c r="H40" s="24">
        <f t="shared" si="1"/>
        <v>1.3157984715284813E-2</v>
      </c>
      <c r="I40" s="24">
        <f t="shared" si="1"/>
        <v>1.4519156747478898E-2</v>
      </c>
      <c r="J40" s="24">
        <f t="shared" si="1"/>
        <v>1.4731199271721054E-2</v>
      </c>
      <c r="K40" s="24">
        <f t="shared" si="1"/>
        <v>1.4519141713824842E-2</v>
      </c>
      <c r="L40" s="6"/>
      <c r="M40" s="25" t="s">
        <v>36</v>
      </c>
      <c r="N40" s="26">
        <f t="shared" si="2"/>
        <v>-0.27561479313467568</v>
      </c>
      <c r="O40" s="26">
        <f t="shared" si="3"/>
        <v>-0.2490968117695036</v>
      </c>
      <c r="P40" s="26">
        <f t="shared" si="4"/>
        <v>-0.4753389020834366</v>
      </c>
      <c r="Q40" s="26">
        <f t="shared" si="5"/>
        <v>-0.50304220084286466</v>
      </c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3" t="s">
        <v>37</v>
      </c>
      <c r="B41" s="24">
        <f t="shared" si="0"/>
        <v>1</v>
      </c>
      <c r="C41" s="24">
        <f t="shared" si="0"/>
        <v>1</v>
      </c>
      <c r="D41" s="24">
        <f t="shared" si="0"/>
        <v>1</v>
      </c>
      <c r="E41" s="24">
        <f t="shared" si="0"/>
        <v>1</v>
      </c>
      <c r="F41" s="6"/>
      <c r="G41" s="25" t="s">
        <v>8</v>
      </c>
      <c r="H41" s="24">
        <f t="shared" si="1"/>
        <v>0.50731460468896694</v>
      </c>
      <c r="I41" s="24">
        <f t="shared" si="1"/>
        <v>0.55656359371489594</v>
      </c>
      <c r="J41" s="24">
        <f t="shared" si="1"/>
        <v>0.56676641444299725</v>
      </c>
      <c r="K41" s="24">
        <f t="shared" si="1"/>
        <v>0.55404448747889512</v>
      </c>
      <c r="L41" s="6"/>
      <c r="M41" s="25" t="s">
        <v>38</v>
      </c>
      <c r="N41" s="26">
        <f t="shared" si="2"/>
        <v>0.13644241073740007</v>
      </c>
      <c r="O41" s="26">
        <f t="shared" si="3"/>
        <v>5.0545533144585715E-2</v>
      </c>
      <c r="P41" s="26">
        <f t="shared" si="4"/>
        <v>0.24527981955266728</v>
      </c>
      <c r="Q41" s="26">
        <f t="shared" si="5"/>
        <v>0.27624923003292579</v>
      </c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/>
      <c r="B42" s="24"/>
      <c r="C42" s="24"/>
      <c r="D42" s="24"/>
      <c r="E42" s="24"/>
      <c r="F42" s="6"/>
      <c r="G42" s="25" t="s">
        <v>39</v>
      </c>
      <c r="H42" s="24">
        <f t="shared" si="1"/>
        <v>0.42054800676411658</v>
      </c>
      <c r="I42" s="24">
        <f t="shared" si="1"/>
        <v>0.34996587423190401</v>
      </c>
      <c r="J42" s="24">
        <f t="shared" si="1"/>
        <v>4.1160041100890971E-2</v>
      </c>
      <c r="K42" s="24">
        <f t="shared" si="1"/>
        <v>3.0279647609889257E-2</v>
      </c>
      <c r="L42" s="6"/>
      <c r="M42" s="25" t="s">
        <v>40</v>
      </c>
      <c r="N42" s="26">
        <f t="shared" si="2"/>
        <v>0.21200386465123866</v>
      </c>
      <c r="O42" s="26">
        <f t="shared" si="3"/>
        <v>0.1486706921940899</v>
      </c>
      <c r="P42" s="26">
        <f t="shared" si="4"/>
        <v>5.3484111711500588E-2</v>
      </c>
      <c r="Q42" s="26">
        <f t="shared" si="5"/>
        <v>0.24118636969941371</v>
      </c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7"/>
      <c r="B43" s="24"/>
      <c r="C43" s="24"/>
      <c r="D43" s="24"/>
      <c r="E43" s="24"/>
      <c r="F43" s="6"/>
      <c r="G43" s="25" t="s">
        <v>41</v>
      </c>
      <c r="H43" s="24">
        <f t="shared" si="1"/>
        <v>0</v>
      </c>
      <c r="I43" s="24">
        <f t="shared" si="1"/>
        <v>0</v>
      </c>
      <c r="J43" s="24">
        <f t="shared" si="1"/>
        <v>0</v>
      </c>
      <c r="K43" s="24">
        <f t="shared" si="1"/>
        <v>0</v>
      </c>
      <c r="L43" s="6"/>
      <c r="M43" s="2" t="s">
        <v>49</v>
      </c>
      <c r="N43" s="26">
        <f>N24/H11</f>
        <v>0.64341118970885192</v>
      </c>
      <c r="O43" s="26">
        <f>O24/I11</f>
        <v>0.63319005124721428</v>
      </c>
      <c r="P43" s="26">
        <f>P24/J11</f>
        <v>0.49183052191822185</v>
      </c>
      <c r="Q43" s="26">
        <f>Q24/K11</f>
        <v>0.69269616988464899</v>
      </c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7"/>
      <c r="B44" s="24"/>
      <c r="C44" s="24"/>
      <c r="D44" s="24"/>
      <c r="E44" s="24"/>
      <c r="F44" s="6"/>
      <c r="G44" s="25" t="s">
        <v>43</v>
      </c>
      <c r="H44" s="24">
        <f t="shared" si="1"/>
        <v>0.37610989051783006</v>
      </c>
      <c r="I44" s="24">
        <f t="shared" si="1"/>
        <v>0.44720195320776895</v>
      </c>
      <c r="J44" s="24">
        <f t="shared" si="1"/>
        <v>0.23660052367582574</v>
      </c>
      <c r="K44" s="24">
        <f t="shared" si="1"/>
        <v>0.54285448397803771</v>
      </c>
      <c r="L44" s="6"/>
      <c r="M44" s="2" t="s">
        <v>50</v>
      </c>
      <c r="N44" s="26">
        <f>N24/B16</f>
        <v>0.29944368593079174</v>
      </c>
      <c r="O44" s="26">
        <f>O24/C16</f>
        <v>0.30578158193987415</v>
      </c>
      <c r="P44" s="26">
        <f>P24/D16</f>
        <v>0.25860358153534824</v>
      </c>
      <c r="Q44" s="26">
        <f>Q24/E16</f>
        <v>0.39517356124059672</v>
      </c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7"/>
      <c r="B45" s="24"/>
      <c r="C45" s="24"/>
      <c r="D45" s="24"/>
      <c r="E45" s="24"/>
      <c r="F45" s="6"/>
      <c r="G45" s="25" t="s">
        <v>45</v>
      </c>
      <c r="H45" s="24">
        <f t="shared" si="1"/>
        <v>8.7921792588583649E-4</v>
      </c>
      <c r="I45" s="24">
        <f t="shared" si="1"/>
        <v>9.582898997309335E-4</v>
      </c>
      <c r="J45" s="24">
        <f t="shared" si="1"/>
        <v>1.0140022443249673E-3</v>
      </c>
      <c r="K45" s="24">
        <f t="shared" si="1"/>
        <v>9.9707966444945693E-4</v>
      </c>
      <c r="L45" s="6"/>
      <c r="M45" s="2" t="s">
        <v>51</v>
      </c>
      <c r="N45" s="26">
        <f>N24/B20</f>
        <v>0.40809327995107486</v>
      </c>
      <c r="O45" s="26">
        <f>O24/C20</f>
        <v>0.4016749882471185</v>
      </c>
      <c r="P45" s="26">
        <f>P24/D20</f>
        <v>0.31614678028691368</v>
      </c>
      <c r="Q45" s="26">
        <f>Q24/E20</f>
        <v>0.45698226272738934</v>
      </c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7"/>
      <c r="B46" s="24"/>
      <c r="C46" s="24"/>
      <c r="D46" s="24"/>
      <c r="E46" s="24"/>
      <c r="F46" s="6"/>
      <c r="G46" s="25" t="s">
        <v>47</v>
      </c>
      <c r="H46" s="24">
        <f t="shared" si="1"/>
        <v>0.55087350300936755</v>
      </c>
      <c r="I46" s="24">
        <f t="shared" si="1"/>
        <v>0.45836922483930009</v>
      </c>
      <c r="J46" s="24">
        <f t="shared" si="1"/>
        <v>0.37031192962373755</v>
      </c>
      <c r="K46" s="24">
        <f t="shared" si="1"/>
        <v>4.047257144629729E-2</v>
      </c>
      <c r="L46" s="6"/>
      <c r="M46" s="2" t="s">
        <v>52</v>
      </c>
      <c r="N46" s="26">
        <f>N24/H22</f>
        <v>1.2682686123403157</v>
      </c>
      <c r="O46" s="26">
        <f>O24/I22</f>
        <v>1.1376778114803729</v>
      </c>
      <c r="P46" s="26">
        <f>P24/J22</f>
        <v>0.86778346314253563</v>
      </c>
      <c r="Q46" s="26">
        <f>Q24/K22</f>
        <v>1.2502536990064996</v>
      </c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7"/>
      <c r="B47" s="24"/>
      <c r="C47" s="24"/>
      <c r="D47" s="24"/>
      <c r="E47" s="24"/>
      <c r="F47" s="6"/>
      <c r="G47" s="6"/>
      <c r="H47" s="6"/>
      <c r="I47" s="6"/>
      <c r="J47" s="6"/>
      <c r="K47" s="6"/>
      <c r="L47" s="6"/>
      <c r="M47" s="2" t="s">
        <v>53</v>
      </c>
      <c r="N47" s="26">
        <f>N24/(B22-B20)</f>
        <v>1.1247253802837345</v>
      </c>
      <c r="O47" s="26">
        <f>O24/(C22-C20)</f>
        <v>1.2808473289430464</v>
      </c>
      <c r="P47" s="26">
        <f>P24/(D22-D20)</f>
        <v>1.4207880591768551</v>
      </c>
      <c r="Q47" s="26">
        <f>Q24/(E22-E20)</f>
        <v>2.9217133484733786</v>
      </c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" t="s">
        <v>54</v>
      </c>
      <c r="N48" s="26">
        <f>N24/H25</f>
        <v>1.7107000000000001</v>
      </c>
      <c r="O48" s="26">
        <f>O24/I25</f>
        <v>1.4158928571428571</v>
      </c>
      <c r="P48" s="26">
        <f>P24/J25</f>
        <v>2.0787380952380952</v>
      </c>
      <c r="Q48" s="26">
        <f>Q24/K25</f>
        <v>1.2760255102040816</v>
      </c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" t="s">
        <v>55</v>
      </c>
      <c r="N49" s="26">
        <f>N24/(N18*-1)</f>
        <v>2.1810614891446889</v>
      </c>
      <c r="O49" s="26">
        <f>O24/(O18*-1)</f>
        <v>1.5567856666029649</v>
      </c>
      <c r="P49" s="26">
        <f>P24/(P18*-1)</f>
        <v>2.3383005961786716</v>
      </c>
      <c r="Q49" s="26">
        <f>Q24/(Q18*-1)</f>
        <v>17.964960924031722</v>
      </c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G50" s="2" t="s">
        <v>56</v>
      </c>
      <c r="H50" s="28">
        <f>LN(H13/I13)</f>
        <v>0.10865622901568396</v>
      </c>
      <c r="I50" s="28">
        <f>LN(I13/J13)</f>
        <v>-1.7642984563475895E-2</v>
      </c>
      <c r="J50" s="28">
        <f>LN(J13/K13)</f>
        <v>-3.6888280462988858E-2</v>
      </c>
      <c r="M50" s="2"/>
      <c r="N50" s="12"/>
      <c r="O50" s="12"/>
    </row>
    <row r="51" spans="1:26">
      <c r="A51" s="29" t="s">
        <v>57</v>
      </c>
      <c r="B51" s="30">
        <f>B11/B17</f>
        <v>0.83009569136059969</v>
      </c>
      <c r="C51" s="30">
        <f>C11/C17</f>
        <v>1.0626789193501374</v>
      </c>
      <c r="D51" s="30">
        <f>D11/D17</f>
        <v>0.48522188911632869</v>
      </c>
      <c r="E51" s="30">
        <f>E11/E17</f>
        <v>1.4966925382355649</v>
      </c>
      <c r="G51" s="29" t="s">
        <v>58</v>
      </c>
      <c r="H51" s="31">
        <f>H13/H11</f>
        <v>0.54187128835710319</v>
      </c>
      <c r="I51" s="31">
        <f>I13/I11</f>
        <v>0.52979483013246764</v>
      </c>
      <c r="J51" s="31">
        <f>J13/J11</f>
        <v>0.57057399287043753</v>
      </c>
      <c r="K51" s="31">
        <f>K13/K11</f>
        <v>0.58213443735902404</v>
      </c>
      <c r="M51" s="2" t="s">
        <v>59</v>
      </c>
      <c r="N51" s="32">
        <f>(N11-N24-N25)/B16</f>
        <v>7.2666820339562538E-2</v>
      </c>
      <c r="O51" s="32">
        <f>(O11-O24-O25)/C16</f>
        <v>0.10109573340401862</v>
      </c>
      <c r="P51" s="32">
        <f>(P11-P24-P25)/D16</f>
        <v>0.1489185431448295</v>
      </c>
      <c r="Q51" s="32">
        <f>(Q11-Q24-Q25)/E16</f>
        <v>4.9098973121669047E-2</v>
      </c>
    </row>
    <row r="52" spans="1:26">
      <c r="A52" s="29" t="s">
        <v>60</v>
      </c>
      <c r="B52" s="31">
        <f>H20/B16</f>
        <v>0.24222803875648621</v>
      </c>
      <c r="C52" s="31">
        <f>I20/C16</f>
        <v>0.2757885827659356</v>
      </c>
      <c r="D52" s="31">
        <f>J20/D16</f>
        <v>0.30575037306425712</v>
      </c>
      <c r="E52" s="31">
        <f>K20/E16</f>
        <v>0.32435766777428587</v>
      </c>
      <c r="F52" s="31"/>
      <c r="G52" s="29" t="s">
        <v>61</v>
      </c>
      <c r="H52" s="31">
        <f>H16/H11</f>
        <v>2.7512682718580903E-2</v>
      </c>
      <c r="I52" s="31">
        <f>I16/I11</f>
        <v>2.4862299065241442E-2</v>
      </c>
      <c r="J52" s="31">
        <f>J16/J11</f>
        <v>2.2262982608734841E-2</v>
      </c>
      <c r="K52" s="31">
        <f>K16/K11</f>
        <v>2.237668340283348E-2</v>
      </c>
      <c r="M52" s="6"/>
    </row>
    <row r="53" spans="1:26">
      <c r="A53" s="29" t="s">
        <v>62</v>
      </c>
      <c r="B53" s="31">
        <f>H20/B20</f>
        <v>0.33011761301621634</v>
      </c>
      <c r="C53" s="31">
        <f>I20/C20</f>
        <v>0.3622761548894689</v>
      </c>
      <c r="D53" s="31">
        <f>J20/D20</f>
        <v>0.37378444429074914</v>
      </c>
      <c r="E53" s="31">
        <f>K20/E20</f>
        <v>0.37509012618945559</v>
      </c>
      <c r="G53" s="29" t="s">
        <v>11</v>
      </c>
      <c r="H53" s="31">
        <f>H17/H11</f>
        <v>0</v>
      </c>
      <c r="I53" s="31">
        <f>I17/I11</f>
        <v>0</v>
      </c>
      <c r="J53" s="31">
        <f>J17/J11</f>
        <v>0</v>
      </c>
      <c r="K53" s="31">
        <f>K17/K11</f>
        <v>0</v>
      </c>
      <c r="M53" s="6"/>
    </row>
    <row r="54" spans="1:26">
      <c r="A54" s="29" t="s">
        <v>63</v>
      </c>
      <c r="B54" s="30">
        <f>H11/B12</f>
        <v>3.944324458667201</v>
      </c>
      <c r="C54" s="30">
        <f>I11/C12</f>
        <v>3.0249212103253527</v>
      </c>
      <c r="D54" s="30">
        <f>J11/D12</f>
        <v>2.5923555809983339</v>
      </c>
      <c r="E54" s="30">
        <f>K11/E12</f>
        <v>10.56851817159985</v>
      </c>
      <c r="G54" s="29" t="s">
        <v>64</v>
      </c>
      <c r="H54" s="31">
        <f>H25/H22</f>
        <v>0.74137406461700806</v>
      </c>
      <c r="I54" s="31">
        <f>I25/I22</f>
        <v>0.80350558005928718</v>
      </c>
      <c r="J54" s="31">
        <f>J25/J22</f>
        <v>0.41745685285242307</v>
      </c>
      <c r="K54" s="31">
        <f>K25/K22</f>
        <v>0.97980305958502345</v>
      </c>
      <c r="M54" s="6"/>
    </row>
    <row r="55" spans="1:26">
      <c r="A55" s="29" t="s">
        <v>65</v>
      </c>
      <c r="B55" s="31">
        <f>(B22-B20)/B16</f>
        <v>0.26623715546923199</v>
      </c>
      <c r="C55" s="31">
        <f>(C22-C20)/C16</f>
        <v>0.23873382489090614</v>
      </c>
      <c r="D55" s="31">
        <f>(D22-D20)/D16</f>
        <v>0.18201418562397848</v>
      </c>
      <c r="E55" s="31">
        <f>(E22-E20)/E16</f>
        <v>0.13525404928826382</v>
      </c>
      <c r="G55" s="29" t="s">
        <v>66</v>
      </c>
      <c r="H55" s="31">
        <f>H22/H11</f>
        <v>0.50731460468896694</v>
      </c>
      <c r="I55" s="31">
        <f>I22/I11</f>
        <v>0.55656359371489594</v>
      </c>
      <c r="J55" s="31">
        <f>J22/J11</f>
        <v>0.56676641444299725</v>
      </c>
      <c r="K55" s="31">
        <f>K22/K11</f>
        <v>0.55404448747889512</v>
      </c>
      <c r="L55" s="31"/>
      <c r="M55" s="6"/>
    </row>
    <row r="56" spans="1:26">
      <c r="A56" s="29" t="s">
        <v>67</v>
      </c>
      <c r="B56" s="31">
        <f>(B22-B20)/B20</f>
        <v>0.36283815329936375</v>
      </c>
      <c r="C56" s="31">
        <f>(C22-C20)/C20</f>
        <v>0.31360098832276923</v>
      </c>
      <c r="D56" s="31">
        <f>(D22-D20)/D20</f>
        <v>0.22251508818991331</v>
      </c>
      <c r="E56" s="31">
        <f>(E22-E20)/E20</f>
        <v>0.1564089998651533</v>
      </c>
      <c r="G56" s="33" t="s">
        <v>68</v>
      </c>
      <c r="H56" s="34">
        <f>H13/B16</f>
        <v>0.2521869971816027</v>
      </c>
      <c r="I56" s="34">
        <f>I13/C16</f>
        <v>0.25584972622733632</v>
      </c>
      <c r="J56" s="34">
        <f>J13/D16</f>
        <v>0.30000675336646432</v>
      </c>
      <c r="K56" s="34">
        <f>K13/E16</f>
        <v>0.33209962568475671</v>
      </c>
      <c r="M56" s="6"/>
    </row>
    <row r="57" spans="1:26">
      <c r="A57" s="29" t="s">
        <v>69</v>
      </c>
      <c r="B57" s="30">
        <f>H11/B16</f>
        <v>0.4654001837709601</v>
      </c>
      <c r="C57" s="30">
        <f>I11/C16</f>
        <v>0.48292227797573029</v>
      </c>
      <c r="D57" s="30">
        <f>J11/D16</f>
        <v>0.52579815609399505</v>
      </c>
      <c r="E57" s="30">
        <f>K11/E16</f>
        <v>0.57048613579948459</v>
      </c>
      <c r="G57" s="33" t="s">
        <v>70</v>
      </c>
      <c r="H57" s="35">
        <f>H25/$B$5</f>
        <v>82.993813188471407</v>
      </c>
      <c r="I57" s="35">
        <f>I25/$B$5</f>
        <v>90.538705296514266</v>
      </c>
      <c r="J57" s="35">
        <f>J25/$B$5</f>
        <v>45.269352648257133</v>
      </c>
      <c r="K57" s="35">
        <f>K25/$B$5</f>
        <v>105.62848951259998</v>
      </c>
      <c r="M57" s="6"/>
    </row>
    <row r="58" spans="1:26">
      <c r="A58" s="29" t="s">
        <v>71</v>
      </c>
      <c r="B58" s="30">
        <f>B16/B20</f>
        <v>1.3628381532993636</v>
      </c>
      <c r="C58" s="30">
        <f>C16/C20</f>
        <v>1.3136009883227693</v>
      </c>
      <c r="D58" s="30">
        <f>D16/D20</f>
        <v>1.2225150881899134</v>
      </c>
      <c r="E58" s="30">
        <f>E16/E20</f>
        <v>1.1564089998651532</v>
      </c>
      <c r="G58" s="36" t="s">
        <v>72</v>
      </c>
      <c r="H58" s="37">
        <f>H22/$B$7/1000</f>
        <v>7.4186571428571435</v>
      </c>
      <c r="I58" s="37">
        <f>I22/$B$7/1000</f>
        <v>7.4672785714285714</v>
      </c>
      <c r="J58" s="37">
        <f>J22/$B$7/1000</f>
        <v>7.1863714285714284</v>
      </c>
      <c r="K58" s="37">
        <f>K22/$B$7/1000</f>
        <v>7.1442928571428572</v>
      </c>
      <c r="M58" s="6"/>
    </row>
    <row r="59" spans="1:26">
      <c r="G59" s="36" t="s">
        <v>73</v>
      </c>
      <c r="H59" s="37">
        <f>B20/$B$7/1000</f>
        <v>23.055635714285717</v>
      </c>
      <c r="I59" s="37">
        <f>C20/$B$7/1000</f>
        <v>21.149828571428571</v>
      </c>
      <c r="J59" s="37">
        <f>D20/$B$7/1000</f>
        <v>19.725692857142857</v>
      </c>
      <c r="K59" s="37">
        <f>E20/$B$7/1000</f>
        <v>19.546007142857142</v>
      </c>
      <c r="M59" s="6"/>
    </row>
    <row r="60" spans="1:26">
      <c r="G60" s="33" t="s">
        <v>74</v>
      </c>
      <c r="H60" s="38">
        <f>SQRT(22.5*H58*H59)</f>
        <v>62.035810407660549</v>
      </c>
      <c r="I60" s="38">
        <f>SQRT(22.5*I58*I59)</f>
        <v>59.61092507098315</v>
      </c>
      <c r="J60" s="38">
        <f>SQRT(22.5*J58*J59)</f>
        <v>56.475777994112718</v>
      </c>
      <c r="K60" s="38">
        <f>SQRT(22.5*K58*K59)</f>
        <v>56.053135348243408</v>
      </c>
      <c r="M60" s="6"/>
    </row>
    <row r="61" spans="1:26">
      <c r="G61" s="33" t="s">
        <v>75</v>
      </c>
      <c r="H61" s="39">
        <f>H58-(B20*0.08/1000/$B$7)</f>
        <v>5.5742062857142862</v>
      </c>
      <c r="I61" s="39">
        <f>I58-(C20*0.08/1000/$B$7)</f>
        <v>5.7752922857142854</v>
      </c>
      <c r="J61" s="39">
        <f>J58-(D20*0.08/1000/$B$7)</f>
        <v>5.6083160000000003</v>
      </c>
      <c r="K61" s="39">
        <f>K58-(E20*0.08/1000/$B$7)</f>
        <v>5.5806122857142864</v>
      </c>
      <c r="M61" s="6"/>
    </row>
    <row r="62" spans="1:26">
      <c r="G62" s="40" t="s">
        <v>76</v>
      </c>
      <c r="H62" s="69">
        <v>6</v>
      </c>
      <c r="I62" s="69">
        <v>5</v>
      </c>
      <c r="J62" s="69">
        <v>7</v>
      </c>
      <c r="K62" s="69">
        <v>7</v>
      </c>
      <c r="M62" s="6"/>
    </row>
    <row r="63" spans="1:26">
      <c r="A63" s="2"/>
      <c r="G63" s="61"/>
      <c r="H63" s="61"/>
      <c r="I63" s="61"/>
      <c r="J63" s="61"/>
      <c r="K63" s="61"/>
      <c r="M63" s="6"/>
    </row>
    <row r="64" spans="1:26">
      <c r="G64" s="2" t="s">
        <v>85</v>
      </c>
      <c r="H64" s="47">
        <f>SUM(H62:J62)</f>
        <v>18</v>
      </c>
      <c r="M64" s="6"/>
    </row>
    <row r="65" spans="7:13">
      <c r="M65" s="6"/>
    </row>
    <row r="66" spans="7:13">
      <c r="M66" s="6"/>
    </row>
    <row r="67" spans="7:13">
      <c r="M67" s="6"/>
    </row>
    <row r="68" spans="7:13">
      <c r="M68" s="6"/>
    </row>
    <row r="69" spans="7:13">
      <c r="M69" s="6"/>
    </row>
    <row r="70" spans="7:13">
      <c r="M70" s="6"/>
    </row>
    <row r="71" spans="7:13">
      <c r="M71" s="6"/>
    </row>
    <row r="72" spans="7:13">
      <c r="M72" s="6"/>
    </row>
    <row r="73" spans="7:13">
      <c r="M73" s="6"/>
    </row>
    <row r="74" spans="7:13">
      <c r="G74" s="2" t="s">
        <v>86</v>
      </c>
      <c r="H74" s="6">
        <f>H59*$B$7/$B$5</f>
        <v>0.34790456789325058</v>
      </c>
      <c r="I74" s="6">
        <f>I59*$B$7/$B$5</f>
        <v>0.31914634935006148</v>
      </c>
      <c r="J74" s="6">
        <f>J59*$B$7/$B$5</f>
        <v>0.29765644872706892</v>
      </c>
      <c r="K74" s="6">
        <f>K59*$B$7/$B$5</f>
        <v>0.29494503007178424</v>
      </c>
      <c r="M74" s="6"/>
    </row>
    <row r="75" spans="7:13">
      <c r="G75" s="2" t="s">
        <v>87</v>
      </c>
      <c r="M75" s="6"/>
    </row>
    <row r="76" spans="7:13">
      <c r="G76" s="2" t="s">
        <v>88</v>
      </c>
      <c r="M76" s="6"/>
    </row>
    <row r="77" spans="7:13">
      <c r="G77" s="2" t="s">
        <v>89</v>
      </c>
      <c r="H77" s="28">
        <f>(H15-H16)/$B$6</f>
        <v>0.10639609742849054</v>
      </c>
      <c r="I77" s="28">
        <f>(I15-I16)/$B$6</f>
        <v>0.10710913251059542</v>
      </c>
      <c r="J77" s="28">
        <f>(J15-J16)/$B$6</f>
        <v>0.10307026455987982</v>
      </c>
      <c r="K77" s="28">
        <f>(K15-K16)/$B$6</f>
        <v>0.10248813397191295</v>
      </c>
      <c r="M77" s="6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SAFCO</vt:lpstr>
      <vt:lpstr>Advanced</vt:lpstr>
      <vt:lpstr>ACC</vt:lpstr>
      <vt:lpstr>SCC</vt:lpstr>
      <vt:lpstr>City Cement</vt:lpstr>
      <vt:lpstr>Yanbu</vt:lpstr>
      <vt:lpstr>Qassim</vt:lpstr>
      <vt:lpstr>Hail Cement</vt:lpstr>
      <vt:lpstr>SPCC</vt:lpstr>
      <vt:lpstr>DAR</vt:lpstr>
      <vt:lpstr>MKH</vt:lpstr>
      <vt:lpstr>Jarir</vt:lpstr>
      <vt:lpstr>Othaim</vt:lpstr>
      <vt:lpstr>Aldrees</vt:lpstr>
      <vt:lpstr>Hokair</vt:lpstr>
      <vt:lpstr>Herfy</vt:lpstr>
      <vt:lpstr>ALJOUF</vt:lpstr>
      <vt:lpstr>SPIMACO</vt:lpstr>
      <vt:lpstr>SADAFCO</vt:lpstr>
      <vt:lpstr>SGS</vt:lpstr>
      <vt:lpstr>Budget</vt:lpstr>
      <vt:lpstr>Ceramics</vt:lpstr>
      <vt:lpstr>Zojaj</vt:lpstr>
      <vt:lpstr>GASCO</vt:lpstr>
      <vt:lpstr>ASLAK</vt:lpstr>
      <vt:lpstr>SISCO</vt:lpstr>
      <vt:lpstr>Catering</vt:lpstr>
      <vt:lpstr>altayar</vt:lpstr>
      <vt:lpstr>Saudi Chemical</vt:lpstr>
      <vt:lpstr>SEC</vt:lpstr>
      <vt:lpstr>!Inma</vt:lpstr>
      <vt:lpstr>!Jazirah</vt:lpstr>
      <vt:lpstr>!Rajhi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Abdullah Nasser Al-Othman</cp:lastModifiedBy>
  <cp:revision>0</cp:revision>
  <dcterms:modified xsi:type="dcterms:W3CDTF">2017-12-05T10:29:44Z</dcterms:modified>
  <dc:language>en-US</dc:language>
</cp:coreProperties>
</file>