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0"/>
  </bookViews>
  <sheets>
    <sheet name="SAFCO" sheetId="1" state="visible" r:id="rId2"/>
    <sheet name="Advanced" sheetId="2" state="visible" r:id="rId3"/>
    <sheet name="ACC" sheetId="3" state="visible" r:id="rId4"/>
    <sheet name="SCC" sheetId="4" state="visible" r:id="rId5"/>
    <sheet name="City Cement" sheetId="5" state="visible" r:id="rId6"/>
    <sheet name="Yanbu" sheetId="6" state="visible" r:id="rId7"/>
    <sheet name="Qassim" sheetId="7" state="visible" r:id="rId8"/>
    <sheet name="Hail Cement" sheetId="8" state="visible" r:id="rId9"/>
    <sheet name="SPCC" sheetId="9" state="visible" r:id="rId10"/>
    <sheet name="DAR" sheetId="10" state="visible" r:id="rId11"/>
    <sheet name="MKH" sheetId="11" state="visible" r:id="rId12"/>
    <sheet name="Jarir" sheetId="12" state="visible" r:id="rId13"/>
    <sheet name="Othaim" sheetId="13" state="visible" r:id="rId14"/>
    <sheet name="Aldrees" sheetId="14" state="visible" r:id="rId15"/>
    <sheet name="Hokair" sheetId="15" state="visible" r:id="rId16"/>
    <sheet name="Herfy" sheetId="16" state="visible" r:id="rId17"/>
    <sheet name="ALJOUF" sheetId="17" state="visible" r:id="rId18"/>
    <sheet name="SPIMACO" sheetId="18" state="visible" r:id="rId19"/>
    <sheet name="SADAFCO" sheetId="19" state="visible" r:id="rId20"/>
    <sheet name="SGS" sheetId="20" state="visible" r:id="rId21"/>
    <sheet name="Budget" sheetId="21" state="visible" r:id="rId22"/>
    <sheet name="Ceramics" sheetId="22" state="visible" r:id="rId23"/>
    <sheet name="Zojaj" sheetId="23" state="visible" r:id="rId24"/>
    <sheet name="GASCO" sheetId="24" state="visible" r:id="rId25"/>
    <sheet name="ASLAK" sheetId="25" state="visible" r:id="rId26"/>
    <sheet name="SISCO" sheetId="26" state="visible" r:id="rId27"/>
    <sheet name="Catering" sheetId="27" state="visible" r:id="rId28"/>
    <sheet name="altayar" sheetId="28" state="visible" r:id="rId29"/>
    <sheet name="Saudi Chemical" sheetId="29" state="visible" r:id="rId30"/>
    <sheet name="SEC" sheetId="30" state="visible" r:id="rId31"/>
    <sheet name="!Inma" sheetId="31" state="visible" r:id="rId32"/>
    <sheet name="!Jazirah" sheetId="32" state="visible" r:id="rId33"/>
    <sheet name="!Rajhi" sheetId="33" state="visible" r:id="rId34"/>
  </sheets>
  <calcPr iterateCount="100" refMode="A1" iterate="false" iterateDelta="0.0001"/>
</workbook>
</file>

<file path=xl/sharedStrings.xml><?xml version="1.0" encoding="utf-8"?>
<sst xmlns="http://schemas.openxmlformats.org/spreadsheetml/2006/main" count="4409" uniqueCount="177">
  <si>
    <t>Market Value</t>
  </si>
  <si>
    <t>Entr. Value</t>
  </si>
  <si>
    <t>Shares</t>
  </si>
  <si>
    <t>BALANCE SHEET</t>
  </si>
  <si>
    <t>STATEMENT OF INCOME</t>
  </si>
  <si>
    <t>CASH FLOW</t>
  </si>
  <si>
    <t>Current Assets</t>
  </si>
  <si>
    <t>Sales</t>
  </si>
  <si>
    <t>Net Income</t>
  </si>
  <si>
    <t>Inventory</t>
  </si>
  <si>
    <t>Sales Cost</t>
  </si>
  <si>
    <t>Depreciation</t>
  </si>
  <si>
    <t>Investments</t>
  </si>
  <si>
    <t>Total Income</t>
  </si>
  <si>
    <t>Accounts Receivable</t>
  </si>
  <si>
    <t>Fixed Assets</t>
  </si>
  <si>
    <t>Other Revenues</t>
  </si>
  <si>
    <t>Other Assets</t>
  </si>
  <si>
    <t>Total Revenues</t>
  </si>
  <si>
    <t>Prepaid Expenses</t>
  </si>
  <si>
    <t>Total Assets</t>
  </si>
  <si>
    <t>Admin and Marketing Expenses</t>
  </si>
  <si>
    <t>Accounts Payable</t>
  </si>
  <si>
    <t>Current Liabilities</t>
  </si>
  <si>
    <t>Other Changes in Oper. Activity</t>
  </si>
  <si>
    <t>Non-Current Liabilities</t>
  </si>
  <si>
    <t>Other Expenses</t>
  </si>
  <si>
    <t>Purchases of Fixed Assets</t>
  </si>
  <si>
    <t>Other Liabilities</t>
  </si>
  <si>
    <t>Total Expenses</t>
  </si>
  <si>
    <t>Other Changes in Investing Act.</t>
  </si>
  <si>
    <t>Shareholders Equity</t>
  </si>
  <si>
    <t>Net Income Before Zakat</t>
  </si>
  <si>
    <t>Increase in Debts</t>
  </si>
  <si>
    <t>Minority Interests</t>
  </si>
  <si>
    <t>Zakat</t>
  </si>
  <si>
    <t>Other Changes in Financing Act.</t>
  </si>
  <si>
    <t>Total Liabilities and Shareholder Equity</t>
  </si>
  <si>
    <t>Cash at Begining of Period</t>
  </si>
  <si>
    <t>Balance First Period</t>
  </si>
  <si>
    <t>Cash at End of Period</t>
  </si>
  <si>
    <t>Reserves</t>
  </si>
  <si>
    <t>Cash From Operations</t>
  </si>
  <si>
    <t>Cash Dividends</t>
  </si>
  <si>
    <t>Cash from Investing</t>
  </si>
  <si>
    <t>Other Distributions</t>
  </si>
  <si>
    <t>Cash from Financing</t>
  </si>
  <si>
    <t>Balance End Period</t>
  </si>
  <si>
    <t>Net Cash</t>
  </si>
  <si>
    <t>CFO/Revenue</t>
  </si>
  <si>
    <t>CFO/Assests</t>
  </si>
  <si>
    <t>CFO/Equity</t>
  </si>
  <si>
    <t>CFO/Income</t>
  </si>
  <si>
    <t>CFO/Debt</t>
  </si>
  <si>
    <t>Cfo/dividends</t>
  </si>
  <si>
    <t>Reinvestment</t>
  </si>
  <si>
    <t>Income Growth</t>
  </si>
  <si>
    <t>Current Ratio</t>
  </si>
  <si>
    <t>Gross Profit</t>
  </si>
  <si>
    <t>Sloan Ratio</t>
  </si>
  <si>
    <t>ROA</t>
  </si>
  <si>
    <t>SGA Ratio</t>
  </si>
  <si>
    <t>ROE</t>
  </si>
  <si>
    <t>Inventory TurnOver</t>
  </si>
  <si>
    <t>Payout Ratio</t>
  </si>
  <si>
    <t>Debt Ratio</t>
  </si>
  <si>
    <t>Profit Margin</t>
  </si>
  <si>
    <t>D/E</t>
  </si>
  <si>
    <t>Gross Profiabilty</t>
  </si>
  <si>
    <t>Asset Turnover</t>
  </si>
  <si>
    <t>Shareholder Yield</t>
  </si>
  <si>
    <t>Leverage</t>
  </si>
  <si>
    <t>Earning Per Share</t>
  </si>
  <si>
    <t>Book value per share</t>
  </si>
  <si>
    <t>Graham Number</t>
  </si>
  <si>
    <t>Economic Earnings</t>
  </si>
  <si>
    <t>Dividend</t>
  </si>
  <si>
    <t>1- Q1 2016 was underwhelming because of the decrease of the urea and amonia prices .</t>
  </si>
  <si>
    <t>4- Dividens are half annual and i should look closely at this company</t>
  </si>
  <si>
    <t>2- Major investment banks advise not to invest</t>
  </si>
  <si>
    <t>5- Advanced look healthier and didnt suffer from the falling prices of oil</t>
  </si>
  <si>
    <t>3- I dont think it is good to invest in it although it has a great track record of dividens and good fundemtals</t>
  </si>
  <si>
    <t>1- Average Fundementals</t>
  </si>
  <si>
    <t>2- Sustained the oil prices downturn</t>
  </si>
  <si>
    <t>-</t>
  </si>
  <si>
    <t>Total Dividend</t>
  </si>
  <si>
    <t>BtM</t>
  </si>
  <si>
    <t>P/E</t>
  </si>
  <si>
    <t>P/B</t>
  </si>
  <si>
    <t>EBITDA/TEV</t>
  </si>
  <si>
    <t>ROCE</t>
  </si>
  <si>
    <t>PE</t>
  </si>
  <si>
    <t>1- Good Fundementals compared to the sector</t>
  </si>
  <si>
    <t>2- Good dividends in reference to the price</t>
  </si>
  <si>
    <t>3- Good investment choice</t>
  </si>
  <si>
    <t>5- The banks advise to buy it.</t>
  </si>
  <si>
    <t>CASH FLOWS</t>
  </si>
  <si>
    <t>EPS</t>
  </si>
  <si>
    <t>Book Value</t>
  </si>
  <si>
    <t>Operating Cash flow</t>
  </si>
  <si>
    <t>1- Very good Fundementals</t>
  </si>
  <si>
    <t>2- Good dividens every  quarter</t>
  </si>
  <si>
    <t>3- Strong Quarter results</t>
  </si>
  <si>
    <t>4- Above the average of the Sector</t>
  </si>
  <si>
    <t>Free Cash Flow</t>
  </si>
  <si>
    <t>GMI</t>
  </si>
  <si>
    <t>SGI</t>
  </si>
  <si>
    <t>DSRI</t>
  </si>
  <si>
    <t>SGAI</t>
  </si>
  <si>
    <t>DI</t>
  </si>
  <si>
    <t>LI</t>
  </si>
  <si>
    <t>AQI</t>
  </si>
  <si>
    <t>TATA</t>
  </si>
  <si>
    <t>M</t>
  </si>
  <si>
    <t>Free Cash Flows</t>
  </si>
  <si>
    <t>FCF</t>
  </si>
  <si>
    <t>Working Capital</t>
  </si>
  <si>
    <t>FCA/EV</t>
  </si>
  <si>
    <t>EV/EBIT</t>
  </si>
  <si>
    <t>FCFE</t>
  </si>
  <si>
    <t>Cash in Bank and SAMA</t>
  </si>
  <si>
    <t>Special Commission Income</t>
  </si>
  <si>
    <t>Due from Banks</t>
  </si>
  <si>
    <t>Special Commission Expenses</t>
  </si>
  <si>
    <t>Net Special Commission Income</t>
  </si>
  <si>
    <t>Gain/Loss on Sale of Fixed Assets</t>
  </si>
  <si>
    <t>Loans and Advances</t>
  </si>
  <si>
    <t>Fees from Services</t>
  </si>
  <si>
    <t>Provision for Possible Credit Loss</t>
  </si>
  <si>
    <t>Fixed Assets Net</t>
  </si>
  <si>
    <t>Exchange Income</t>
  </si>
  <si>
    <t>Net Accrtn of Discnts and Premium Amort</t>
  </si>
  <si>
    <t>Other Assets Net</t>
  </si>
  <si>
    <t>Trading Income</t>
  </si>
  <si>
    <t>Net Gains from Investments</t>
  </si>
  <si>
    <t>Trading Securities</t>
  </si>
  <si>
    <t>Realized Gains on Investments, net</t>
  </si>
  <si>
    <t>Dividend Income</t>
  </si>
  <si>
    <t>Due to Banks</t>
  </si>
  <si>
    <t>Other Operating Income</t>
  </si>
  <si>
    <t>Customer Deposits</t>
  </si>
  <si>
    <t>Total Operating Income</t>
  </si>
  <si>
    <t>Salaries and Employees Benefits</t>
  </si>
  <si>
    <t>Net Change in Operat. Liabilities</t>
  </si>
  <si>
    <t>Total Liabilities</t>
  </si>
  <si>
    <t>Rent and Premises</t>
  </si>
  <si>
    <t>Share Capital</t>
  </si>
  <si>
    <t>Deposits</t>
  </si>
  <si>
    <t>General Reserves</t>
  </si>
  <si>
    <t>Other General and Admin Expenses</t>
  </si>
  <si>
    <t>Statutary Reserves</t>
  </si>
  <si>
    <t>Provision for Credit Losses</t>
  </si>
  <si>
    <t>Net Cash Used in Operations</t>
  </si>
  <si>
    <t>Retained Earnings</t>
  </si>
  <si>
    <t>Total Operating Expenses</t>
  </si>
  <si>
    <t>Proceeds from Mat/Sale Investments</t>
  </si>
  <si>
    <t>Fair Value/Cash Flow Hedges Adj Act</t>
  </si>
  <si>
    <t>Extraordinary item</t>
  </si>
  <si>
    <t>Purchase of Investment</t>
  </si>
  <si>
    <t>Net Income from Operations</t>
  </si>
  <si>
    <t>Fair Value</t>
  </si>
  <si>
    <t>Balance at Beginning of Period</t>
  </si>
  <si>
    <t>Transferred to Reserves</t>
  </si>
  <si>
    <t>Proceeds from Sell of Fixed Assets</t>
  </si>
  <si>
    <t>Contra Accounts</t>
  </si>
  <si>
    <t>Cash Dividend</t>
  </si>
  <si>
    <t>Net Cash from Investing Activities</t>
  </si>
  <si>
    <t>Dividend Paid</t>
  </si>
  <si>
    <t>Balance at End of Period</t>
  </si>
  <si>
    <t>Cash Used for Financing Activities</t>
  </si>
  <si>
    <t>Net Changes in Cash and SAMA</t>
  </si>
  <si>
    <t>Cash and Balances with SAMA Beg. Year</t>
  </si>
  <si>
    <t>Cash and Balances with SAMA End Year</t>
  </si>
  <si>
    <t>NIM</t>
  </si>
  <si>
    <t>Investments / Deposits</t>
  </si>
  <si>
    <t>Loans / Deposits</t>
  </si>
  <si>
    <t>Econmic Earnings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</si>
</sst>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"/>
    <numFmt numFmtId="166" formatCode="#,##0"/>
    <numFmt numFmtId="167" formatCode="M/D/YYYY"/>
    <numFmt numFmtId="168" formatCode="0.00%"/>
    <numFmt numFmtId="169" formatCode="0.00"/>
    <numFmt numFmtId="170" formatCode="0%"/>
    <numFmt numFmtId="171" formatCode="0.0"/>
    <numFmt numFmtId="172" formatCode="0.0000"/>
    <numFmt numFmtId="173" formatCode="YYYY\-MM\-DD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1"/>
      <color rgb="FF000000"/>
      <name val="Helvetica Neue"/>
      <family val="0"/>
      <charset val="1"/>
    </font>
    <font>
      <sz val="11"/>
      <color rgb="FFCCCCCC"/>
      <name val="&quot;Helvetica Neue&quot;"/>
      <family val="0"/>
      <charset val="1"/>
    </font>
    <font>
      <b val="true"/>
      <sz val="9"/>
      <color rgb="FF000000"/>
      <name val="Calibri"/>
      <family val="2"/>
      <charset val="1"/>
    </font>
    <font>
      <sz val="11"/>
      <color rgb="FF333333"/>
      <name val="&quot;Helvetica Neue&quot;"/>
      <family val="0"/>
      <charset val="1"/>
    </font>
    <font>
      <sz val="9"/>
      <color rgb="FF53A528"/>
      <name val="&quot;Helvetica Neue&quot;"/>
      <family val="0"/>
      <charset val="1"/>
    </font>
    <font>
      <sz val="9"/>
      <color rgb="FF63831D"/>
      <name val="Calibri"/>
      <family val="2"/>
      <charset val="1"/>
    </font>
    <font>
      <sz val="9"/>
      <color rgb="FFDC2A4C"/>
      <name val="&quot;Helvetica Neue&quot;"/>
      <family val="0"/>
      <charset val="1"/>
    </font>
    <font>
      <sz val="9"/>
      <color rgb="FFC10808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CCCCCC"/>
      <name val="Helvetica Neue"/>
      <family val="0"/>
      <charset val="1"/>
    </font>
    <font>
      <sz val="11"/>
      <color rgb="FF333333"/>
      <name val="Helvetica Neue"/>
      <family val="0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Tahoma"/>
      <family val="2"/>
      <charset val="1"/>
    </font>
    <font>
      <sz val="9"/>
      <color rgb="FF53A528"/>
      <name val="Helvetica Neue"/>
      <family val="0"/>
      <charset val="1"/>
    </font>
    <font>
      <sz val="11"/>
      <name val="Tahoma"/>
      <family val="2"/>
      <charset val="1"/>
    </font>
    <font>
      <sz val="9"/>
      <color rgb="FFDC2A4C"/>
      <name val="Helvetica Neue"/>
      <family val="0"/>
      <charset val="1"/>
    </font>
    <font>
      <sz val="9"/>
      <name val="Calibri"/>
      <family val="2"/>
      <charset val="1"/>
    </font>
    <font>
      <sz val="11"/>
      <color rgb="FFCCCCCC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0F5F8"/>
        <bgColor rgb="FFEEEEEE"/>
      </patternFill>
    </fill>
    <fill>
      <patternFill patternType="solid">
        <fgColor rgb="FF192D34"/>
        <bgColor rgb="FF333333"/>
      </patternFill>
    </fill>
    <fill>
      <patternFill patternType="solid">
        <fgColor rgb="FFEDEBE7"/>
        <bgColor rgb="FFEEEEEE"/>
      </patternFill>
    </fill>
    <fill>
      <patternFill patternType="solid">
        <fgColor rgb="FFFFFFFF"/>
        <bgColor rgb="FFF0F5F8"/>
      </patternFill>
    </fill>
    <fill>
      <patternFill patternType="solid">
        <fgColor rgb="FFFCE5CD"/>
        <bgColor rgb="FFEDEBE7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BD3ED"/>
      </bottom>
      <diagonal/>
    </border>
    <border diagonalUp="false" diagonalDown="false">
      <left/>
      <right/>
      <top/>
      <bottom style="thin">
        <color rgb="FFEEEE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2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2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1080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31D"/>
      <rgbColor rgb="FF800080"/>
      <rgbColor rgb="FF008080"/>
      <rgbColor rgb="FFCCCCCC"/>
      <rgbColor rgb="FF808080"/>
      <rgbColor rgb="FF9999FF"/>
      <rgbColor rgb="FFDC2A4C"/>
      <rgbColor rgb="FFF0F5F8"/>
      <rgbColor rgb="FFEEEEEE"/>
      <rgbColor rgb="FF660066"/>
      <rgbColor rgb="FFFF8080"/>
      <rgbColor rgb="FF0066CC"/>
      <rgbColor rgb="FFBBD3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BE7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92D34"/>
      <rgbColor rgb="FF53A52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H19" activeCellId="1" sqref="N10:Q10 H19"/>
    </sheetView>
  </sheetViews>
  <sheetFormatPr defaultRowHeight="15"/>
  <cols>
    <col collapsed="false" hidden="false" max="14" min="1" style="0" width="15.1351351351351"/>
    <col collapsed="false" hidden="false" max="15" min="15" style="0" width="31.4234234234234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B1" s="1" t="n">
        <v>2020</v>
      </c>
      <c r="C1" s="1" t="n">
        <v>2020</v>
      </c>
    </row>
    <row r="2" customFormat="false" ht="15" hidden="false" customHeight="false" outlineLevel="0" collapsed="false">
      <c r="B2" s="0" t="str">
        <f aca="false">IFERROR(__xludf.dummyfunction("GoogleFinance(""TADAWUL:""&amp;B1,""eps"")"),"2.6")</f>
        <v>2.6</v>
      </c>
      <c r="C2" s="0" t="str">
        <f aca="false">IFERROR(__xludf.dummyfunction("GoogleFinance(""TADAWUL:""&amp;B1,""eps"")"),"2.6")</f>
        <v>2.6</v>
      </c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IFERROR(__xludf.dummyfunction("GoogleFinance(""TADAWUL:""&amp;B1,""marketcap"")/1000"),"26,940,879.97")</f>
        <v>26,940,879.97</v>
      </c>
      <c r="C5" s="3" t="str">
        <f aca="false">IFERROR(__xludf.dummyfunction("GoogleFinance(""TADAWUL:""&amp;B1,""marketcap"")/1000"),"26,940,879.97")</f>
        <v>26,940,879.97</v>
      </c>
    </row>
    <row r="6" customFormat="false" ht="15" hidden="false" customHeight="false" outlineLevel="0" collapsed="false">
      <c r="A6" s="2" t="s">
        <v>1</v>
      </c>
      <c r="B6" s="4" t="n">
        <f aca="false">B5+(B22-B20)-N23</f>
        <v>28333934.97</v>
      </c>
      <c r="C6" s="4" t="e">
        <f aca="false">C5+(C22-C20)-O23</f>
        <v>#VALUE!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IFERROR(__xludf.dummyfunction("GoogleFinance(""TADAWUL:""&amp;B1,""shares"")/1000000"),"415.754301")</f>
        <v>415.754301</v>
      </c>
      <c r="C7" s="5" t="str">
        <f aca="false">IFERROR(__xludf.dummyfunction("GoogleFinance(""TADAWUL:""&amp;B1,""shares"")/1000000"),"415.754301")</f>
        <v>415.754301</v>
      </c>
      <c r="D7" s="2" t="n">
        <f aca="false">J11/C7/1000</f>
        <v>8.53211858895478</v>
      </c>
      <c r="E7" s="6" t="n">
        <f aca="false">59/D7</f>
        <v>6.91504687667823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1053737</v>
      </c>
      <c r="C11" s="11" t="n">
        <v>2380670</v>
      </c>
      <c r="D11" s="11" t="n">
        <v>2394570</v>
      </c>
      <c r="E11" s="11" t="n">
        <v>3025809</v>
      </c>
      <c r="F11" s="12" t="n">
        <v>4668878</v>
      </c>
      <c r="H11" s="10" t="s">
        <v>7</v>
      </c>
      <c r="I11" s="11" t="n">
        <v>2855924</v>
      </c>
      <c r="J11" s="11" t="n">
        <v>3547265</v>
      </c>
      <c r="K11" s="11" t="n">
        <v>4456130</v>
      </c>
      <c r="L11" s="11" t="n">
        <v>4240398</v>
      </c>
      <c r="M11" s="12" t="n">
        <v>4980402</v>
      </c>
      <c r="O11" s="10" t="s">
        <v>8</v>
      </c>
      <c r="P11" s="11" t="n">
        <v>1078162</v>
      </c>
      <c r="Q11" s="11" t="n">
        <v>2196429</v>
      </c>
      <c r="R11" s="11" t="n">
        <v>3254040</v>
      </c>
      <c r="S11" s="11" t="n">
        <v>3272936</v>
      </c>
      <c r="T11" s="12" t="n">
        <v>3972750</v>
      </c>
    </row>
    <row r="12" customFormat="false" ht="15" hidden="false" customHeight="false" outlineLevel="0" collapsed="false">
      <c r="A12" s="10" t="s">
        <v>9</v>
      </c>
      <c r="B12" s="11" t="n">
        <v>505306</v>
      </c>
      <c r="C12" s="11" t="n">
        <v>434634</v>
      </c>
      <c r="D12" s="11" t="n">
        <v>386878</v>
      </c>
      <c r="E12" s="11" t="n">
        <v>342274</v>
      </c>
      <c r="F12" s="12" t="n">
        <v>423166</v>
      </c>
      <c r="H12" s="10" t="s">
        <v>10</v>
      </c>
      <c r="I12" s="11" t="n">
        <v>1806246</v>
      </c>
      <c r="J12" s="11" t="n">
        <v>1462213</v>
      </c>
      <c r="K12" s="11" t="n">
        <v>1402205</v>
      </c>
      <c r="L12" s="11" t="n">
        <v>1361783</v>
      </c>
      <c r="M12" s="12" t="n">
        <v>1372094</v>
      </c>
      <c r="O12" s="10" t="s">
        <v>11</v>
      </c>
      <c r="P12" s="11" t="n">
        <v>447771</v>
      </c>
      <c r="Q12" s="11" t="n">
        <v>400708</v>
      </c>
      <c r="R12" s="11" t="n">
        <v>368320</v>
      </c>
      <c r="S12" s="11" t="n">
        <v>373936</v>
      </c>
      <c r="T12" s="12" t="n">
        <v>347858</v>
      </c>
    </row>
    <row r="13" customFormat="false" ht="15" hidden="false" customHeight="false" outlineLevel="0" collapsed="false">
      <c r="A13" s="10" t="s">
        <v>12</v>
      </c>
      <c r="B13" s="11" t="n">
        <v>1179227</v>
      </c>
      <c r="C13" s="11" t="n">
        <v>916636</v>
      </c>
      <c r="D13" s="11" t="n">
        <v>1193008</v>
      </c>
      <c r="E13" s="11" t="n">
        <v>1527699</v>
      </c>
      <c r="F13" s="12" t="n">
        <v>1262622</v>
      </c>
      <c r="H13" s="10" t="s">
        <v>13</v>
      </c>
      <c r="I13" s="11" t="n">
        <v>1049678</v>
      </c>
      <c r="J13" s="11" t="n">
        <v>2085052</v>
      </c>
      <c r="K13" s="11" t="n">
        <v>3053925</v>
      </c>
      <c r="L13" s="11" t="n">
        <v>2878615</v>
      </c>
      <c r="M13" s="12" t="n">
        <v>3608308</v>
      </c>
      <c r="O13" s="10" t="s">
        <v>14</v>
      </c>
      <c r="P13" s="11" t="n">
        <v>170336</v>
      </c>
      <c r="Q13" s="13" t="n">
        <v>-38226</v>
      </c>
      <c r="R13" s="11" t="n">
        <v>56678</v>
      </c>
      <c r="S13" s="11" t="n">
        <v>261639</v>
      </c>
      <c r="T13" s="12" t="n">
        <v>54048</v>
      </c>
    </row>
    <row r="14" customFormat="false" ht="15" hidden="false" customHeight="false" outlineLevel="0" collapsed="false">
      <c r="A14" s="10" t="s">
        <v>15</v>
      </c>
      <c r="B14" s="11" t="n">
        <v>5485870</v>
      </c>
      <c r="C14" s="11" t="n">
        <v>5173218</v>
      </c>
      <c r="D14" s="11" t="n">
        <v>4792451</v>
      </c>
      <c r="E14" s="11" t="n">
        <v>4320496</v>
      </c>
      <c r="F14" s="12" t="n">
        <v>3500446</v>
      </c>
      <c r="H14" s="10" t="s">
        <v>16</v>
      </c>
      <c r="I14" s="11" t="n">
        <v>97891</v>
      </c>
      <c r="J14" s="11" t="n">
        <v>182599</v>
      </c>
      <c r="K14" s="11" t="n">
        <v>297548</v>
      </c>
      <c r="L14" s="11" t="n">
        <v>475461</v>
      </c>
      <c r="M14" s="12" t="n">
        <v>451183</v>
      </c>
      <c r="O14" s="10" t="s">
        <v>9</v>
      </c>
      <c r="P14" s="13" t="n">
        <v>-67917</v>
      </c>
      <c r="Q14" s="13" t="n">
        <v>-32144</v>
      </c>
      <c r="R14" s="13" t="n">
        <v>-142967</v>
      </c>
      <c r="S14" s="13" t="n">
        <v>-85183</v>
      </c>
      <c r="T14" s="14" t="n">
        <v>-51064</v>
      </c>
    </row>
    <row r="15" customFormat="false" ht="15" hidden="false" customHeight="false" outlineLevel="0" collapsed="false">
      <c r="A15" s="10" t="s">
        <v>17</v>
      </c>
      <c r="B15" s="11" t="n">
        <v>149642</v>
      </c>
      <c r="C15" s="11" t="n">
        <v>107168</v>
      </c>
      <c r="D15" s="11" t="n">
        <v>157821</v>
      </c>
      <c r="E15" s="11" t="n">
        <v>243579</v>
      </c>
      <c r="F15" s="12" t="n">
        <v>177230</v>
      </c>
      <c r="H15" s="10" t="s">
        <v>18</v>
      </c>
      <c r="I15" s="11" t="n">
        <v>1147569</v>
      </c>
      <c r="J15" s="11" t="n">
        <v>2267651</v>
      </c>
      <c r="K15" s="11" t="n">
        <v>3351473</v>
      </c>
      <c r="L15" s="11" t="n">
        <v>3354076</v>
      </c>
      <c r="M15" s="12" t="n">
        <v>4059491</v>
      </c>
      <c r="O15" s="10" t="s">
        <v>19</v>
      </c>
      <c r="P15" s="11" t="n">
        <v>16274</v>
      </c>
      <c r="Q15" s="15"/>
      <c r="R15" s="11" t="n">
        <v>89516</v>
      </c>
      <c r="S15" s="13" t="n">
        <v>-94768</v>
      </c>
      <c r="T15" s="14" t="n">
        <v>-52963</v>
      </c>
    </row>
    <row r="16" customFormat="false" ht="15" hidden="false" customHeight="false" outlineLevel="0" collapsed="false">
      <c r="A16" s="10" t="s">
        <v>20</v>
      </c>
      <c r="B16" s="11" t="n">
        <v>8373782</v>
      </c>
      <c r="C16" s="11" t="n">
        <v>9012326</v>
      </c>
      <c r="D16" s="11" t="n">
        <v>8924728</v>
      </c>
      <c r="E16" s="11" t="n">
        <v>9459857</v>
      </c>
      <c r="F16" s="12" t="n">
        <v>10032342</v>
      </c>
      <c r="H16" s="10" t="s">
        <v>21</v>
      </c>
      <c r="I16" s="11" t="n">
        <v>69407</v>
      </c>
      <c r="J16" s="11" t="n">
        <v>71222</v>
      </c>
      <c r="K16" s="11" t="n">
        <v>97433</v>
      </c>
      <c r="L16" s="11" t="n">
        <v>81140</v>
      </c>
      <c r="M16" s="12" t="n">
        <v>86741</v>
      </c>
      <c r="O16" s="10" t="s">
        <v>22</v>
      </c>
      <c r="P16" s="11" t="n">
        <v>63211</v>
      </c>
      <c r="Q16" s="11" t="n">
        <v>317088</v>
      </c>
      <c r="R16" s="13" t="n">
        <v>-152092</v>
      </c>
      <c r="S16" s="16" t="n">
        <v>272</v>
      </c>
      <c r="T16" s="12" t="n">
        <v>152972</v>
      </c>
    </row>
    <row r="17" customFormat="false" ht="15" hidden="false" customHeight="false" outlineLevel="0" collapsed="false">
      <c r="A17" s="10" t="s">
        <v>23</v>
      </c>
      <c r="B17" s="11" t="n">
        <v>846884</v>
      </c>
      <c r="C17" s="11" t="n">
        <v>820185</v>
      </c>
      <c r="D17" s="11" t="n">
        <v>510244</v>
      </c>
      <c r="E17" s="11" t="n">
        <v>687603</v>
      </c>
      <c r="F17" s="12" t="n">
        <v>693484</v>
      </c>
      <c r="H17" s="10" t="s">
        <v>11</v>
      </c>
      <c r="I17" s="15"/>
      <c r="J17" s="15"/>
      <c r="K17" s="15"/>
      <c r="L17" s="15"/>
      <c r="M17" s="17" t="n">
        <v>0</v>
      </c>
      <c r="O17" s="10" t="s">
        <v>24</v>
      </c>
      <c r="P17" s="13" t="n">
        <v>-149604</v>
      </c>
      <c r="Q17" s="13" t="n">
        <v>-148083</v>
      </c>
      <c r="R17" s="13" t="n">
        <v>-296502</v>
      </c>
      <c r="S17" s="13" t="n">
        <v>-451037</v>
      </c>
      <c r="T17" s="14" t="n">
        <v>-452618</v>
      </c>
    </row>
    <row r="18" customFormat="false" ht="15" hidden="false" customHeight="false" outlineLevel="0" collapsed="false">
      <c r="A18" s="10" t="s">
        <v>25</v>
      </c>
      <c r="B18" s="11" t="n">
        <v>546171</v>
      </c>
      <c r="C18" s="11" t="n">
        <v>595956</v>
      </c>
      <c r="D18" s="11" t="n">
        <v>552788</v>
      </c>
      <c r="E18" s="11" t="n">
        <v>503468</v>
      </c>
      <c r="F18" s="17" t="n">
        <v>0</v>
      </c>
      <c r="H18" s="10" t="s">
        <v>26</v>
      </c>
      <c r="I18" s="15"/>
      <c r="J18" s="15"/>
      <c r="K18" s="15"/>
      <c r="L18" s="15"/>
      <c r="M18" s="17" t="n">
        <v>0</v>
      </c>
      <c r="O18" s="10" t="s">
        <v>27</v>
      </c>
      <c r="P18" s="13" t="n">
        <v>-845237</v>
      </c>
      <c r="Q18" s="13" t="n">
        <v>-778512</v>
      </c>
      <c r="R18" s="13" t="n">
        <v>-667639</v>
      </c>
      <c r="S18" s="13" t="n">
        <v>-925120</v>
      </c>
      <c r="T18" s="14" t="n">
        <v>-573236</v>
      </c>
    </row>
    <row r="19" customFormat="false" ht="15" hidden="false" customHeight="false" outlineLevel="0" collapsed="false">
      <c r="A19" s="10" t="s">
        <v>28</v>
      </c>
      <c r="B19" s="15"/>
      <c r="C19" s="15"/>
      <c r="D19" s="15"/>
      <c r="E19" s="15"/>
      <c r="F19" s="12" t="n">
        <v>481572</v>
      </c>
      <c r="H19" s="10" t="s">
        <v>29</v>
      </c>
      <c r="I19" s="11" t="n">
        <v>69407</v>
      </c>
      <c r="J19" s="11" t="n">
        <v>71222</v>
      </c>
      <c r="K19" s="11" t="n">
        <v>97433</v>
      </c>
      <c r="L19" s="11" t="n">
        <v>81140</v>
      </c>
      <c r="M19" s="12" t="n">
        <v>86741</v>
      </c>
      <c r="O19" s="10" t="s">
        <v>30</v>
      </c>
      <c r="P19" s="11" t="n">
        <v>26933</v>
      </c>
      <c r="Q19" s="11" t="n">
        <v>144218</v>
      </c>
      <c r="R19" s="11" t="n">
        <v>304412</v>
      </c>
      <c r="S19" s="11" t="n">
        <v>208009</v>
      </c>
      <c r="T19" s="12" t="n">
        <v>286628</v>
      </c>
    </row>
    <row r="20" customFormat="false" ht="15" hidden="false" customHeight="false" outlineLevel="0" collapsed="false">
      <c r="A20" s="10" t="s">
        <v>31</v>
      </c>
      <c r="B20" s="11" t="n">
        <v>6980727</v>
      </c>
      <c r="C20" s="11" t="n">
        <v>7596185</v>
      </c>
      <c r="D20" s="11" t="n">
        <v>7861696</v>
      </c>
      <c r="E20" s="11" t="n">
        <v>8268786</v>
      </c>
      <c r="F20" s="12" t="n">
        <v>8857286</v>
      </c>
      <c r="H20" s="10" t="s">
        <v>32</v>
      </c>
      <c r="I20" s="11" t="n">
        <v>1078162</v>
      </c>
      <c r="J20" s="11" t="n">
        <v>2196429</v>
      </c>
      <c r="K20" s="11" t="n">
        <v>3254040</v>
      </c>
      <c r="L20" s="11" t="n">
        <v>3272936</v>
      </c>
      <c r="M20" s="12" t="n">
        <v>3972750</v>
      </c>
      <c r="O20" s="10" t="s">
        <v>33</v>
      </c>
      <c r="P20" s="15"/>
      <c r="Q20" s="15"/>
      <c r="R20" s="15"/>
      <c r="S20" s="15"/>
      <c r="T20" s="17" t="n">
        <v>0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5"/>
      <c r="F21" s="17"/>
      <c r="H21" s="10" t="s">
        <v>35</v>
      </c>
      <c r="I21" s="11" t="n">
        <v>22500</v>
      </c>
      <c r="J21" s="11" t="n">
        <v>66000</v>
      </c>
      <c r="K21" s="11" t="n">
        <v>80000</v>
      </c>
      <c r="L21" s="11" t="n">
        <v>112459</v>
      </c>
      <c r="M21" s="12" t="n">
        <v>106535</v>
      </c>
      <c r="O21" s="10" t="s">
        <v>36</v>
      </c>
      <c r="P21" s="13" t="n">
        <v>-1883213</v>
      </c>
      <c r="Q21" s="13" t="n">
        <v>-2241533</v>
      </c>
      <c r="R21" s="13" t="n">
        <v>-3313340</v>
      </c>
      <c r="S21" s="13" t="n">
        <v>-4015041</v>
      </c>
      <c r="T21" s="14" t="n">
        <v>-3370000</v>
      </c>
    </row>
    <row r="22" customFormat="false" ht="15" hidden="false" customHeight="false" outlineLevel="0" collapsed="false">
      <c r="A22" s="10" t="s">
        <v>37</v>
      </c>
      <c r="B22" s="11" t="n">
        <v>8373782</v>
      </c>
      <c r="C22" s="11" t="n">
        <v>9012326</v>
      </c>
      <c r="D22" s="11" t="n">
        <v>8924728</v>
      </c>
      <c r="E22" s="11" t="n">
        <v>9459857</v>
      </c>
      <c r="F22" s="12" t="n">
        <v>10032342</v>
      </c>
      <c r="H22" s="10" t="s">
        <v>8</v>
      </c>
      <c r="I22" s="11" t="n">
        <v>1055662</v>
      </c>
      <c r="J22" s="11" t="n">
        <v>2130429</v>
      </c>
      <c r="K22" s="11" t="n">
        <v>3174040</v>
      </c>
      <c r="L22" s="11" t="n">
        <v>3160477</v>
      </c>
      <c r="M22" s="12" t="n">
        <v>3866215</v>
      </c>
      <c r="O22" s="10" t="s">
        <v>38</v>
      </c>
      <c r="P22" s="11" t="n">
        <v>1460039</v>
      </c>
      <c r="Q22" s="11" t="n">
        <v>1640094</v>
      </c>
      <c r="R22" s="11" t="n">
        <v>2139668</v>
      </c>
      <c r="S22" s="11" t="n">
        <v>3594025</v>
      </c>
      <c r="T22" s="12" t="n">
        <v>3279650</v>
      </c>
    </row>
    <row r="23" customFormat="false" ht="15" hidden="false" customHeight="false" outlineLevel="0" collapsed="false">
      <c r="H23" s="10" t="s">
        <v>39</v>
      </c>
      <c r="I23" s="18"/>
      <c r="J23" s="11" t="n">
        <v>2459369</v>
      </c>
      <c r="K23" s="11" t="n">
        <v>618662</v>
      </c>
      <c r="L23" s="11" t="n">
        <v>1458185</v>
      </c>
      <c r="M23" s="12" t="n">
        <v>2341970</v>
      </c>
      <c r="O23" s="10" t="s">
        <v>40</v>
      </c>
      <c r="P23" s="11" t="n">
        <v>316755</v>
      </c>
      <c r="Q23" s="11" t="n">
        <v>1460039</v>
      </c>
      <c r="R23" s="11" t="n">
        <v>1640094</v>
      </c>
      <c r="S23" s="11" t="n">
        <v>2139668</v>
      </c>
      <c r="T23" s="12" t="n">
        <v>3594025</v>
      </c>
    </row>
    <row r="24" customFormat="false" ht="15" hidden="false" customHeight="false" outlineLevel="0" collapsed="false">
      <c r="H24" s="10" t="s">
        <v>41</v>
      </c>
      <c r="I24" s="18"/>
      <c r="J24" s="11" t="n">
        <v>213043</v>
      </c>
      <c r="K24" s="15"/>
      <c r="L24" s="15"/>
      <c r="M24" s="12" t="n">
        <v>416667</v>
      </c>
      <c r="O24" s="2" t="s">
        <v>42</v>
      </c>
      <c r="P24" s="12" t="n">
        <f aca="false">SUM(P11:P17)</f>
        <v>1558233</v>
      </c>
      <c r="Q24" s="12" t="n">
        <f aca="false">SUM(Q11:Q17)</f>
        <v>2695772</v>
      </c>
      <c r="R24" s="12" t="n">
        <f aca="false">SUM(R11:R17)</f>
        <v>3176993</v>
      </c>
      <c r="S24" s="12" t="n">
        <f aca="false">SUM(S11:S17)</f>
        <v>3277795</v>
      </c>
      <c r="T24" s="12" t="n">
        <f aca="false">SUM(T11:T17)</f>
        <v>3970983</v>
      </c>
    </row>
    <row r="25" customFormat="false" ht="15" hidden="false" customHeight="false" outlineLevel="0" collapsed="false">
      <c r="H25" s="10" t="s">
        <v>43</v>
      </c>
      <c r="I25" s="18"/>
      <c r="J25" s="11" t="n">
        <v>1250000</v>
      </c>
      <c r="K25" s="15"/>
      <c r="L25" s="11" t="n">
        <v>2000000</v>
      </c>
      <c r="M25" s="12" t="n">
        <v>2000000</v>
      </c>
      <c r="O25" s="2" t="s">
        <v>44</v>
      </c>
      <c r="P25" s="12" t="n">
        <f aca="false">P18+P19</f>
        <v>-818304</v>
      </c>
      <c r="Q25" s="12" t="n">
        <f aca="false">Q18+Q19</f>
        <v>-634294</v>
      </c>
      <c r="R25" s="12" t="n">
        <f aca="false">R18+R19</f>
        <v>-363227</v>
      </c>
      <c r="S25" s="12" t="n">
        <f aca="false">S18+S19</f>
        <v>-717111</v>
      </c>
      <c r="T25" s="12" t="n">
        <f aca="false">T18+T19</f>
        <v>-286608</v>
      </c>
    </row>
    <row r="26" customFormat="false" ht="15" hidden="false" customHeight="false" outlineLevel="0" collapsed="false">
      <c r="H26" s="10" t="s">
        <v>45</v>
      </c>
      <c r="I26" s="18"/>
      <c r="J26" s="11" t="n">
        <v>2250000</v>
      </c>
      <c r="K26" s="11" t="n">
        <v>1333333</v>
      </c>
      <c r="L26" s="11" t="n">
        <v>2000000</v>
      </c>
      <c r="M26" s="12" t="n">
        <v>2333333</v>
      </c>
      <c r="O26" s="2" t="s">
        <v>46</v>
      </c>
      <c r="P26" s="12" t="n">
        <f aca="false">P20+P21</f>
        <v>-1883213</v>
      </c>
      <c r="Q26" s="12" t="n">
        <f aca="false">Q20+Q21</f>
        <v>-2241533</v>
      </c>
      <c r="R26" s="12" t="n">
        <f aca="false">R20+R21</f>
        <v>-3313340</v>
      </c>
      <c r="S26" s="12" t="n">
        <f aca="false">S20+S21</f>
        <v>-4015041</v>
      </c>
      <c r="T26" s="12" t="n">
        <f aca="false">T20+T21</f>
        <v>-3370000</v>
      </c>
    </row>
    <row r="27" customFormat="false" ht="15" hidden="false" customHeight="false" outlineLevel="0" collapsed="false">
      <c r="H27" s="10" t="s">
        <v>47</v>
      </c>
      <c r="I27" s="18"/>
      <c r="J27" s="11" t="n">
        <v>42021</v>
      </c>
      <c r="K27" s="11" t="n">
        <v>2459369</v>
      </c>
      <c r="L27" s="11" t="n">
        <v>618662</v>
      </c>
      <c r="M27" s="12" t="n">
        <v>1458185</v>
      </c>
      <c r="O27" s="2" t="s">
        <v>48</v>
      </c>
      <c r="P27" s="12" t="n">
        <f aca="false">P24+P25+P26</f>
        <v>-1143284</v>
      </c>
      <c r="Q27" s="12" t="n">
        <f aca="false">Q24+Q25+Q26</f>
        <v>-180055</v>
      </c>
      <c r="R27" s="12" t="n">
        <f aca="false">R24+R25+R26</f>
        <v>-499574</v>
      </c>
      <c r="S27" s="12" t="n">
        <f aca="false">S24+S25+S26</f>
        <v>-1454357</v>
      </c>
      <c r="T27" s="12" t="n">
        <f aca="false">T24+T25+T26</f>
        <v>314375</v>
      </c>
    </row>
    <row r="28" customFormat="false" ht="15" hidden="false" customHeight="false" outlineLevel="0" collapsed="false"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0.125837644209032</v>
      </c>
      <c r="C30" s="24" t="n">
        <f aca="false">C11/C$16</f>
        <v>0.264157111049911</v>
      </c>
      <c r="D30" s="24" t="n">
        <f aca="false">D11/D$16</f>
        <v>0.268307336649363</v>
      </c>
      <c r="E30" s="24" t="n">
        <f aca="false">E11/E$16</f>
        <v>0.319857794890557</v>
      </c>
      <c r="F30" s="24" t="n">
        <f aca="false">F11/F$16</f>
        <v>0.465382659402959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0.377517749071754</v>
      </c>
      <c r="Q30" s="26" t="n">
        <f aca="false">Q11/J$11</f>
        <v>0.619189431858065</v>
      </c>
      <c r="R30" s="26" t="n">
        <f aca="false">R11/K$11</f>
        <v>0.730239019059139</v>
      </c>
      <c r="S30" s="26" t="n">
        <f aca="false">S11/L$11</f>
        <v>0.771846416303375</v>
      </c>
      <c r="T30" s="26" t="n">
        <f aca="false">T11/M$11</f>
        <v>0.797676573095907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0.0603438207490952</v>
      </c>
      <c r="C31" s="24" t="n">
        <f aca="false">C12/C$16</f>
        <v>0.0482266176345596</v>
      </c>
      <c r="D31" s="24" t="n">
        <f aca="false">D12/D$16</f>
        <v>0.0433489961822926</v>
      </c>
      <c r="E31" s="24" t="n">
        <f aca="false">E12/E$16</f>
        <v>0.0361817308654877</v>
      </c>
      <c r="F31" s="24" t="n">
        <f aca="false">F12/F$16</f>
        <v>0.0421801808590656</v>
      </c>
      <c r="G31" s="6"/>
      <c r="H31" s="25" t="s">
        <v>10</v>
      </c>
      <c r="I31" s="24" t="n">
        <f aca="false">I12/I$11</f>
        <v>0.632455905689367</v>
      </c>
      <c r="J31" s="24" t="n">
        <f aca="false">J12/J$11</f>
        <v>0.412208560679848</v>
      </c>
      <c r="K31" s="24" t="n">
        <f aca="false">K12/K$11</f>
        <v>0.314668782104651</v>
      </c>
      <c r="L31" s="24" t="n">
        <f aca="false">L12/L$11</f>
        <v>0.321145090625927</v>
      </c>
      <c r="M31" s="24" t="n">
        <f aca="false">M12/M$11</f>
        <v>0.275498644486931</v>
      </c>
      <c r="N31" s="6"/>
      <c r="O31" s="25" t="s">
        <v>11</v>
      </c>
      <c r="P31" s="26" t="n">
        <f aca="false">P12/I$11</f>
        <v>0.156786735221245</v>
      </c>
      <c r="Q31" s="26" t="n">
        <f aca="false">Q12/J$11</f>
        <v>0.112962521830199</v>
      </c>
      <c r="R31" s="26" t="n">
        <f aca="false">R12/K$11</f>
        <v>0.0826546801821311</v>
      </c>
      <c r="S31" s="26" t="n">
        <f aca="false">S12/L$11</f>
        <v>0.0881841751646897</v>
      </c>
      <c r="T31" s="26" t="n">
        <f aca="false">T12/M$11</f>
        <v>0.0698453658961666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0.14082370427126</v>
      </c>
      <c r="C32" s="24" t="n">
        <f aca="false">C13/C$16</f>
        <v>0.101709148115592</v>
      </c>
      <c r="D32" s="24" t="n">
        <f aca="false">D13/D$16</f>
        <v>0.133674438033294</v>
      </c>
      <c r="E32" s="24" t="n">
        <f aca="false">E13/E$16</f>
        <v>0.161492821720244</v>
      </c>
      <c r="F32" s="24" t="n">
        <f aca="false">F13/F$16</f>
        <v>0.125855159243973</v>
      </c>
      <c r="G32" s="6"/>
      <c r="H32" s="25" t="s">
        <v>13</v>
      </c>
      <c r="I32" s="24" t="n">
        <f aca="false">I13/I$11</f>
        <v>0.367544094310633</v>
      </c>
      <c r="J32" s="24" t="n">
        <f aca="false">J13/J$11</f>
        <v>0.587791439320152</v>
      </c>
      <c r="K32" s="24" t="n">
        <f aca="false">K13/K$11</f>
        <v>0.685331217895349</v>
      </c>
      <c r="L32" s="24" t="n">
        <f aca="false">L13/L$11</f>
        <v>0.678854909374073</v>
      </c>
      <c r="M32" s="24" t="n">
        <f aca="false">M13/M$11</f>
        <v>0.724501355513069</v>
      </c>
      <c r="N32" s="6"/>
      <c r="O32" s="25" t="s">
        <v>14</v>
      </c>
      <c r="P32" s="26" t="n">
        <f aca="false">P13/I$11</f>
        <v>0.059643043722452</v>
      </c>
      <c r="Q32" s="26" t="n">
        <f aca="false">Q13/J$11</f>
        <v>-0.0107761895432115</v>
      </c>
      <c r="R32" s="26" t="n">
        <f aca="false">R13/K$11</f>
        <v>0.0127191082845429</v>
      </c>
      <c r="S32" s="26" t="n">
        <f aca="false">S13/L$11</f>
        <v>0.0617015195271765</v>
      </c>
      <c r="T32" s="26" t="n">
        <f aca="false">T13/M$11</f>
        <v>0.0108521360323926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0.655124530349608</v>
      </c>
      <c r="C33" s="24" t="n">
        <f aca="false">C14/C$16</f>
        <v>0.574015853399</v>
      </c>
      <c r="D33" s="24" t="n">
        <f aca="false">D14/D$16</f>
        <v>0.536985664997297</v>
      </c>
      <c r="E33" s="24" t="n">
        <f aca="false">E14/E$16</f>
        <v>0.456718954631132</v>
      </c>
      <c r="F33" s="24" t="n">
        <f aca="false">F14/F$16</f>
        <v>0.348916135434777</v>
      </c>
      <c r="G33" s="6"/>
      <c r="H33" s="25" t="s">
        <v>16</v>
      </c>
      <c r="I33" s="24" t="n">
        <f aca="false">I14/I$11</f>
        <v>0.0342764723431016</v>
      </c>
      <c r="J33" s="24" t="n">
        <f aca="false">J14/J$11</f>
        <v>0.0514759962957377</v>
      </c>
      <c r="K33" s="24" t="n">
        <f aca="false">K14/K$11</f>
        <v>0.0667727377791941</v>
      </c>
      <c r="L33" s="24" t="n">
        <f aca="false">L14/L$11</f>
        <v>0.112126503219745</v>
      </c>
      <c r="M33" s="24" t="n">
        <f aca="false">M14/M$11</f>
        <v>0.0905916831613191</v>
      </c>
      <c r="N33" s="6"/>
      <c r="O33" s="25" t="s">
        <v>9</v>
      </c>
      <c r="P33" s="26" t="n">
        <f aca="false">P14/I$11</f>
        <v>-0.0237810950151335</v>
      </c>
      <c r="Q33" s="26" t="n">
        <f aca="false">Q14/J$11</f>
        <v>-0.00906162917064273</v>
      </c>
      <c r="R33" s="26" t="n">
        <f aca="false">R14/K$11</f>
        <v>-0.0320832201933067</v>
      </c>
      <c r="S33" s="26" t="n">
        <f aca="false">S14/L$11</f>
        <v>-0.0200884445280844</v>
      </c>
      <c r="T33" s="26" t="n">
        <f aca="false">T14/M$11</f>
        <v>-0.0102529876102371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0.0178703004210045</v>
      </c>
      <c r="C34" s="24" t="n">
        <f aca="false">C15/C$16</f>
        <v>0.0118912698009371</v>
      </c>
      <c r="D34" s="24" t="n">
        <f aca="false">D15/D$16</f>
        <v>0.017683564137753</v>
      </c>
      <c r="E34" s="24" t="n">
        <f aca="false">E15/E$16</f>
        <v>0.0257486978925791</v>
      </c>
      <c r="F34" s="24" t="n">
        <f aca="false">F15/F$16</f>
        <v>0.0176658650592255</v>
      </c>
      <c r="G34" s="6"/>
      <c r="H34" s="25" t="s">
        <v>18</v>
      </c>
      <c r="I34" s="24" t="n">
        <f aca="false">I15/I$11</f>
        <v>0.401820566653734</v>
      </c>
      <c r="J34" s="24" t="n">
        <f aca="false">J15/J$11</f>
        <v>0.63926743561589</v>
      </c>
      <c r="K34" s="24" t="n">
        <f aca="false">K15/K$11</f>
        <v>0.752103955674543</v>
      </c>
      <c r="L34" s="24" t="n">
        <f aca="false">L15/L$11</f>
        <v>0.790981412593818</v>
      </c>
      <c r="M34" s="24" t="n">
        <f aca="false">M15/M$11</f>
        <v>0.815093038674388</v>
      </c>
      <c r="N34" s="6"/>
      <c r="O34" s="25" t="s">
        <v>19</v>
      </c>
      <c r="P34" s="26" t="n">
        <f aca="false">P15/I$11</f>
        <v>0.00569833090796534</v>
      </c>
      <c r="Q34" s="26" t="n">
        <f aca="false">Q15/J$11</f>
        <v>0</v>
      </c>
      <c r="R34" s="26" t="n">
        <f aca="false">R15/K$11</f>
        <v>0.0200882828822319</v>
      </c>
      <c r="S34" s="26" t="n">
        <f aca="false">S15/L$11</f>
        <v>-0.0223488455564784</v>
      </c>
      <c r="T34" s="26" t="n">
        <f aca="false">T15/M$11</f>
        <v>-0.0106342821322456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0.0243028175819805</v>
      </c>
      <c r="J35" s="24" t="n">
        <f aca="false">J16/J$11</f>
        <v>0.0200780037578247</v>
      </c>
      <c r="K35" s="24" t="n">
        <f aca="false">K16/K$11</f>
        <v>0.0218649366154039</v>
      </c>
      <c r="L35" s="24" t="n">
        <f aca="false">L16/L$11</f>
        <v>0.0191349962904425</v>
      </c>
      <c r="M35" s="24" t="n">
        <f aca="false">M16/M$11</f>
        <v>0.0174164655784814</v>
      </c>
      <c r="N35" s="6"/>
      <c r="O35" s="25" t="s">
        <v>22</v>
      </c>
      <c r="P35" s="26" t="n">
        <f aca="false">P16/I$11</f>
        <v>0.0221332920623938</v>
      </c>
      <c r="Q35" s="26" t="n">
        <f aca="false">Q16/J$11</f>
        <v>0.0893894310123433</v>
      </c>
      <c r="R35" s="26" t="n">
        <f aca="false">R16/K$11</f>
        <v>-0.0341309611703429</v>
      </c>
      <c r="S35" s="26" t="n">
        <f aca="false">S16/L$11</f>
        <v>6.41449222455062E-005</v>
      </c>
      <c r="T35" s="26" t="n">
        <f aca="false">T16/M$11</f>
        <v>0.0307147896896676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0.10113518598884</v>
      </c>
      <c r="C36" s="24" t="n">
        <f aca="false">C17/C$16</f>
        <v>0.0910070274865778</v>
      </c>
      <c r="D36" s="24" t="n">
        <f aca="false">D17/D$16</f>
        <v>0.0571719384613178</v>
      </c>
      <c r="E36" s="24" t="n">
        <f aca="false">E17/E$16</f>
        <v>0.0726864053018983</v>
      </c>
      <c r="F36" s="24" t="n">
        <f aca="false">F17/F$16</f>
        <v>0.0691248364539407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-0.0523837469064303</v>
      </c>
      <c r="Q36" s="26" t="n">
        <f aca="false">Q17/J$11</f>
        <v>-0.0417456829416466</v>
      </c>
      <c r="R36" s="26" t="n">
        <f aca="false">R17/K$11</f>
        <v>-0.0665380049504839</v>
      </c>
      <c r="S36" s="26" t="n">
        <f aca="false">S17/L$11</f>
        <v>-0.106366666525171</v>
      </c>
      <c r="T36" s="26" t="n">
        <f aca="false">T17/M$11</f>
        <v>-0.0908798125131264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0.0652239334628009</v>
      </c>
      <c r="C37" s="24" t="n">
        <f aca="false">C18/C$16</f>
        <v>0.0661267690494108</v>
      </c>
      <c r="D37" s="24" t="n">
        <f aca="false">D18/D$16</f>
        <v>0.0619389184746022</v>
      </c>
      <c r="E37" s="24" t="n">
        <f aca="false">E18/E$16</f>
        <v>0.0532215233274668</v>
      </c>
      <c r="F37" s="24" t="n">
        <f aca="false">F18/F$16</f>
        <v>0</v>
      </c>
      <c r="G37" s="6"/>
      <c r="H37" s="25" t="s">
        <v>26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</v>
      </c>
      <c r="N37" s="6"/>
      <c r="O37" s="25" t="s">
        <v>27</v>
      </c>
      <c r="P37" s="26" t="n">
        <f aca="false">P18/I$11</f>
        <v>-0.295959206197364</v>
      </c>
      <c r="Q37" s="26" t="n">
        <f aca="false">Q18/J$11</f>
        <v>-0.219468238206055</v>
      </c>
      <c r="R37" s="26" t="n">
        <f aca="false">R18/K$11</f>
        <v>-0.149824848018348</v>
      </c>
      <c r="S37" s="26" t="n">
        <f aca="false">S18/L$11</f>
        <v>-0.218168200249128</v>
      </c>
      <c r="T37" s="26" t="n">
        <f aca="false">T18/M$11</f>
        <v>-0.115098339451313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0.0480019520865616</v>
      </c>
      <c r="G38" s="6"/>
      <c r="H38" s="25" t="s">
        <v>29</v>
      </c>
      <c r="I38" s="24" t="n">
        <f aca="false">I19/I$11</f>
        <v>0.0243028175819805</v>
      </c>
      <c r="J38" s="24" t="n">
        <f aca="false">J19/J$11</f>
        <v>0.0200780037578247</v>
      </c>
      <c r="K38" s="24" t="n">
        <f aca="false">K19/K$11</f>
        <v>0.0218649366154039</v>
      </c>
      <c r="L38" s="24" t="n">
        <f aca="false">L19/L$11</f>
        <v>0.0191349962904425</v>
      </c>
      <c r="M38" s="24" t="n">
        <f aca="false">M19/M$11</f>
        <v>0.0174164655784814</v>
      </c>
      <c r="N38" s="6"/>
      <c r="O38" s="25" t="s">
        <v>30</v>
      </c>
      <c r="P38" s="26" t="n">
        <f aca="false">P19/I$11</f>
        <v>0.00943057308247698</v>
      </c>
      <c r="Q38" s="26" t="n">
        <f aca="false">Q19/J$11</f>
        <v>0.0406561111165926</v>
      </c>
      <c r="R38" s="26" t="n">
        <f aca="false">R19/K$11</f>
        <v>0.0683130878138654</v>
      </c>
      <c r="S38" s="26" t="n">
        <f aca="false">S19/L$11</f>
        <v>0.0490541218064908</v>
      </c>
      <c r="T38" s="26" t="n">
        <f aca="false">T19/M$11</f>
        <v>0.0575511775957041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0.833640880548359</v>
      </c>
      <c r="C39" s="24" t="n">
        <f aca="false">C20/C$16</f>
        <v>0.842866203464011</v>
      </c>
      <c r="D39" s="24" t="n">
        <f aca="false">D20/D$16</f>
        <v>0.88088914306408</v>
      </c>
      <c r="E39" s="24" t="n">
        <f aca="false">E20/E$16</f>
        <v>0.874092071370635</v>
      </c>
      <c r="F39" s="24" t="n">
        <f aca="false">F20/F$16</f>
        <v>0.882873211459498</v>
      </c>
      <c r="G39" s="6"/>
      <c r="H39" s="25" t="s">
        <v>32</v>
      </c>
      <c r="I39" s="24" t="n">
        <f aca="false">I20/I$11</f>
        <v>0.377517749071754</v>
      </c>
      <c r="J39" s="24" t="n">
        <f aca="false">J20/J$11</f>
        <v>0.619189431858065</v>
      </c>
      <c r="K39" s="24" t="n">
        <f aca="false">K20/K$11</f>
        <v>0.730239019059139</v>
      </c>
      <c r="L39" s="24" t="n">
        <f aca="false">L20/L$11</f>
        <v>0.771846416303375</v>
      </c>
      <c r="M39" s="24" t="n">
        <f aca="false">M20/M$11</f>
        <v>0.797676573095907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0.00787836090876368</v>
      </c>
      <c r="J40" s="24" t="n">
        <f aca="false">J21/J$11</f>
        <v>0.0186058836878553</v>
      </c>
      <c r="K40" s="24" t="n">
        <f aca="false">K21/K$11</f>
        <v>0.0179527976068921</v>
      </c>
      <c r="L40" s="24" t="n">
        <f aca="false">L21/L$11</f>
        <v>0.0265208595985565</v>
      </c>
      <c r="M40" s="24" t="n">
        <f aca="false">M21/M$11</f>
        <v>0.0213908435503801</v>
      </c>
      <c r="N40" s="6"/>
      <c r="O40" s="25" t="s">
        <v>36</v>
      </c>
      <c r="P40" s="26" t="n">
        <f aca="false">P21/I$11</f>
        <v>-0.659405852536692</v>
      </c>
      <c r="Q40" s="26" t="n">
        <f aca="false">Q21/J$11</f>
        <v>-0.631904580007414</v>
      </c>
      <c r="R40" s="26" t="n">
        <f aca="false">R21/K$11</f>
        <v>-0.743546530285248</v>
      </c>
      <c r="S40" s="26" t="n">
        <f aca="false">S21/L$11</f>
        <v>-0.946854752784998</v>
      </c>
      <c r="T40" s="26" t="n">
        <f aca="false">T21/M$11</f>
        <v>-0.676652205986585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0.36963938816299</v>
      </c>
      <c r="J41" s="24" t="n">
        <f aca="false">J22/J$11</f>
        <v>0.60058354817021</v>
      </c>
      <c r="K41" s="24" t="n">
        <f aca="false">K22/K$11</f>
        <v>0.712286221452247</v>
      </c>
      <c r="L41" s="24" t="n">
        <f aca="false">L22/L$11</f>
        <v>0.745325556704819</v>
      </c>
      <c r="M41" s="24" t="n">
        <f aca="false">M22/M$11</f>
        <v>0.776285729545527</v>
      </c>
      <c r="N41" s="6"/>
      <c r="O41" s="25" t="s">
        <v>38</v>
      </c>
      <c r="P41" s="26" t="n">
        <f aca="false">P22/I$11</f>
        <v>0.511231741460907</v>
      </c>
      <c r="Q41" s="26" t="n">
        <f aca="false">Q22/J$11</f>
        <v>0.462354518199232</v>
      </c>
      <c r="R41" s="26" t="n">
        <f aca="false">R22/K$11</f>
        <v>0.480162831874295</v>
      </c>
      <c r="S41" s="26" t="n">
        <f aca="false">S22/L$11</f>
        <v>0.847567846225755</v>
      </c>
      <c r="T41" s="26" t="n">
        <f aca="false">T22/M$11</f>
        <v>0.658511100107983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</v>
      </c>
      <c r="J42" s="24" t="n">
        <f aca="false">J23/J$11</f>
        <v>0.693314144841166</v>
      </c>
      <c r="K42" s="24" t="n">
        <f aca="false">K23/K$11</f>
        <v>0.138833920913438</v>
      </c>
      <c r="L42" s="24" t="n">
        <f aca="false">L23/L$11</f>
        <v>0.343879277369719</v>
      </c>
      <c r="M42" s="24" t="n">
        <f aca="false">M23/M$11</f>
        <v>0.470237141499823</v>
      </c>
      <c r="N42" s="6"/>
      <c r="O42" s="25" t="s">
        <v>40</v>
      </c>
      <c r="P42" s="26" t="n">
        <f aca="false">P23/I$11</f>
        <v>0.110911564873575</v>
      </c>
      <c r="Q42" s="26" t="n">
        <f aca="false">Q23/J$11</f>
        <v>0.411595694147463</v>
      </c>
      <c r="R42" s="26" t="n">
        <f aca="false">R23/K$11</f>
        <v>0.368053445478476</v>
      </c>
      <c r="S42" s="26" t="n">
        <f aca="false">S23/L$11</f>
        <v>0.504591314305874</v>
      </c>
      <c r="T42" s="26" t="n">
        <f aca="false">T23/M$11</f>
        <v>0.721633514724313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</v>
      </c>
      <c r="J43" s="24" t="n">
        <f aca="false">J24/J$11</f>
        <v>0.0600583830077539</v>
      </c>
      <c r="K43" s="24" t="n">
        <f aca="false">K24/K$11</f>
        <v>0</v>
      </c>
      <c r="L43" s="24" t="n">
        <f aca="false">L24/L$11</f>
        <v>0</v>
      </c>
      <c r="M43" s="24" t="n">
        <f aca="false">M24/M$11</f>
        <v>0.0836613189055823</v>
      </c>
      <c r="N43" s="6"/>
      <c r="O43" s="2" t="s">
        <v>49</v>
      </c>
      <c r="P43" s="26" t="n">
        <f aca="false">P24/I11</f>
        <v>0.545614309064247</v>
      </c>
      <c r="Q43" s="26" t="n">
        <f aca="false">Q24/J11</f>
        <v>0.759957883045107</v>
      </c>
      <c r="R43" s="26" t="n">
        <f aca="false">R24/K11</f>
        <v>0.712948904093911</v>
      </c>
      <c r="S43" s="26" t="n">
        <f aca="false">S24/L11</f>
        <v>0.772992299307754</v>
      </c>
      <c r="T43" s="26" t="n">
        <f aca="false">T24/M11</f>
        <v>0.797321782458525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</v>
      </c>
      <c r="J44" s="24" t="n">
        <f aca="false">J25/J$11</f>
        <v>0.352384160754835</v>
      </c>
      <c r="K44" s="24" t="n">
        <f aca="false">K25/K$11</f>
        <v>0</v>
      </c>
      <c r="L44" s="24" t="n">
        <f aca="false">L25/L$11</f>
        <v>0.471653840040487</v>
      </c>
      <c r="M44" s="24" t="n">
        <f aca="false">M25/M$11</f>
        <v>0.401574009487588</v>
      </c>
      <c r="N44" s="6"/>
      <c r="O44" s="2" t="s">
        <v>50</v>
      </c>
      <c r="P44" s="26" t="n">
        <f aca="false">P24/B16</f>
        <v>0.186084734472428</v>
      </c>
      <c r="Q44" s="26" t="n">
        <f aca="false">Q24/C16</f>
        <v>0.299120559997497</v>
      </c>
      <c r="R44" s="26" t="n">
        <f aca="false">R24/D16</f>
        <v>0.355976451047023</v>
      </c>
      <c r="S44" s="26" t="n">
        <f aca="false">S24/E16</f>
        <v>0.346495195434772</v>
      </c>
      <c r="T44" s="26" t="n">
        <f aca="false">T24/F16</f>
        <v>0.395818144955585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</v>
      </c>
      <c r="J45" s="24" t="n">
        <f aca="false">J26/J$11</f>
        <v>0.634291489358703</v>
      </c>
      <c r="K45" s="24" t="n">
        <f aca="false">K26/K$11</f>
        <v>0.299213218644878</v>
      </c>
      <c r="L45" s="24" t="n">
        <f aca="false">L26/L$11</f>
        <v>0.471653840040487</v>
      </c>
      <c r="M45" s="24" t="n">
        <f aca="false">M26/M$11</f>
        <v>0.468502944139851</v>
      </c>
      <c r="N45" s="6"/>
      <c r="O45" s="2" t="s">
        <v>51</v>
      </c>
      <c r="P45" s="26" t="n">
        <f aca="false">P24/B20</f>
        <v>0.223219300797754</v>
      </c>
      <c r="Q45" s="26" t="n">
        <f aca="false">Q24/C20</f>
        <v>0.354884985028669</v>
      </c>
      <c r="R45" s="26" t="n">
        <f aca="false">R24/D20</f>
        <v>0.404110385341789</v>
      </c>
      <c r="S45" s="26" t="n">
        <f aca="false">S24/E20</f>
        <v>0.396405832730464</v>
      </c>
      <c r="T45" s="26" t="n">
        <f aca="false">T24/F20</f>
        <v>0.448329544738648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</v>
      </c>
      <c r="J46" s="24" t="n">
        <f aca="false">J27/J$11</f>
        <v>0.0118460278552631</v>
      </c>
      <c r="K46" s="24" t="n">
        <f aca="false">K27/K$11</f>
        <v>0.551906923720807</v>
      </c>
      <c r="L46" s="24" t="n">
        <f aca="false">L27/L$11</f>
        <v>0.145897153993564</v>
      </c>
      <c r="M46" s="24" t="n">
        <f aca="false">M27/M$11</f>
        <v>0.292784598512329</v>
      </c>
      <c r="N46" s="6"/>
      <c r="O46" s="2" t="s">
        <v>52</v>
      </c>
      <c r="P46" s="26" t="n">
        <f aca="false">P24/I22</f>
        <v>1.47607188664554</v>
      </c>
      <c r="Q46" s="26" t="n">
        <f aca="false">Q24/J22</f>
        <v>1.26536580191126</v>
      </c>
      <c r="R46" s="26" t="n">
        <f aca="false">R24/K22</f>
        <v>1.00093036004587</v>
      </c>
      <c r="S46" s="26" t="n">
        <f aca="false">S24/L22</f>
        <v>1.03712034607434</v>
      </c>
      <c r="T46" s="26" t="n">
        <f aca="false">T24/M22</f>
        <v>1.02709833777997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1.11857248995912</v>
      </c>
      <c r="Q47" s="26" t="n">
        <f aca="false">Q24/(C22-C20)</f>
        <v>1.90360423149955</v>
      </c>
      <c r="R47" s="26" t="n">
        <f aca="false">R24/(D22-D20)</f>
        <v>2.98861464189225</v>
      </c>
      <c r="S47" s="26" t="n">
        <f aca="false">S24/(E22-E20)</f>
        <v>2.75197280430806</v>
      </c>
      <c r="T47" s="26" t="n">
        <f aca="false">T24/(F22-F20)</f>
        <v>3.3793989392846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 aca="false">P24/I25</f>
        <v>#DIV/0!</v>
      </c>
      <c r="Q48" s="26" t="n">
        <f aca="false">Q24/J25</f>
        <v>2.1566176</v>
      </c>
      <c r="R48" s="26" t="e">
        <f aca="false">R24/K25</f>
        <v>#DIV/0!</v>
      </c>
      <c r="S48" s="26" t="n">
        <f aca="false">S24/L25</f>
        <v>1.6388975</v>
      </c>
      <c r="T48" s="26" t="n">
        <f aca="false">T24/M25</f>
        <v>1.9854915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1.84354565642536</v>
      </c>
      <c r="Q49" s="26" t="n">
        <f aca="false">Q24/(Q18*-1)</f>
        <v>3.46272376019894</v>
      </c>
      <c r="R49" s="26" t="n">
        <f aca="false">R24/(R18*-1)</f>
        <v>4.75854915605589</v>
      </c>
      <c r="S49" s="26" t="n">
        <f aca="false">S24/(S18*-1)</f>
        <v>3.5431025164303</v>
      </c>
      <c r="T49" s="26" t="n">
        <f aca="false">T24/(T18*-1)</f>
        <v>6.92730917109184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-0.686310344516801</v>
      </c>
      <c r="J50" s="28" t="n">
        <f aca="false">LN(J13/K13)</f>
        <v>-0.381633853550383</v>
      </c>
      <c r="K50" s="28" t="n">
        <f aca="false">LN(K13/L13)</f>
        <v>0.059118372838861</v>
      </c>
      <c r="L50" s="28" t="n">
        <f aca="false">LN(L13/M13)</f>
        <v>-0.225929688711328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1.24425186920523</v>
      </c>
      <c r="C51" s="30" t="n">
        <f aca="false">C11/C17</f>
        <v>2.90260124240263</v>
      </c>
      <c r="D51" s="30" t="n">
        <f aca="false">D11/D17</f>
        <v>4.6929900204608</v>
      </c>
      <c r="E51" s="30" t="n">
        <f aca="false">E11/E17</f>
        <v>4.40051744974935</v>
      </c>
      <c r="F51" s="30" t="n">
        <f aca="false">F11/F17</f>
        <v>6.73249563075716</v>
      </c>
      <c r="H51" s="29" t="s">
        <v>58</v>
      </c>
      <c r="I51" s="31" t="n">
        <f aca="false">I13/I11</f>
        <v>0.367544094310633</v>
      </c>
      <c r="J51" s="31" t="n">
        <f aca="false">J13/J11</f>
        <v>0.587791439320152</v>
      </c>
      <c r="K51" s="31" t="n">
        <f aca="false">K13/K11</f>
        <v>0.685331217895349</v>
      </c>
      <c r="L51" s="31" t="n">
        <f aca="false">L13/L11</f>
        <v>0.678854909374073</v>
      </c>
      <c r="M51" s="31" t="n">
        <f aca="false">M13/M11</f>
        <v>0.724501355513069</v>
      </c>
      <c r="O51" s="2" t="s">
        <v>59</v>
      </c>
      <c r="P51" s="32" t="n">
        <f aca="false">(P11-P24-P25)/B16</f>
        <v>0.0403919041599125</v>
      </c>
      <c r="Q51" s="32" t="n">
        <f aca="false">(Q11-Q24-Q25)/C16</f>
        <v>0.0149740477652495</v>
      </c>
      <c r="R51" s="32" t="n">
        <f aca="false">(R11-R24-R25)/D16</f>
        <v>0.0493319236171679</v>
      </c>
      <c r="S51" s="32" t="n">
        <f aca="false">(S11-S24-S25)/E16</f>
        <v>0.0752920472265067</v>
      </c>
      <c r="T51" s="32" t="n">
        <f aca="false">(T11-T24-T25)/F16</f>
        <v>0.028744534426757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0.128754486324101</v>
      </c>
      <c r="C52" s="31" t="n">
        <f aca="false">J20/C16</f>
        <v>0.243713886958816</v>
      </c>
      <c r="D52" s="31" t="n">
        <f aca="false">K20/D16</f>
        <v>0.364609431234207</v>
      </c>
      <c r="E52" s="31" t="n">
        <f aca="false">L20/E16</f>
        <v>0.345981551306748</v>
      </c>
      <c r="F52" s="31" t="n">
        <f aca="false">M20/F16</f>
        <v>0.395994275314777</v>
      </c>
      <c r="G52" s="31"/>
      <c r="H52" s="29" t="s">
        <v>61</v>
      </c>
      <c r="I52" s="31" t="n">
        <f aca="false">I16/I11</f>
        <v>0.0243028175819805</v>
      </c>
      <c r="J52" s="31" t="n">
        <f aca="false">J16/J11</f>
        <v>0.0200780037578247</v>
      </c>
      <c r="K52" s="31" t="n">
        <f aca="false">K16/K11</f>
        <v>0.0218649366154039</v>
      </c>
      <c r="L52" s="31" t="n">
        <f aca="false">L16/L11</f>
        <v>0.0191349962904425</v>
      </c>
      <c r="M52" s="31" t="n">
        <f aca="false">M16/M11</f>
        <v>0.0174164655784814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0.154448383384711</v>
      </c>
      <c r="C53" s="31" t="n">
        <f aca="false">J20/C20</f>
        <v>0.289148960958692</v>
      </c>
      <c r="D53" s="31" t="n">
        <f aca="false">K20/D20</f>
        <v>0.413910687973689</v>
      </c>
      <c r="E53" s="31" t="n">
        <f aca="false">L20/E20</f>
        <v>0.395818201124083</v>
      </c>
      <c r="F53" s="31" t="n">
        <f aca="false">M20/F20</f>
        <v>0.448529041514523</v>
      </c>
      <c r="H53" s="29" t="s">
        <v>11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L53" s="31" t="n">
        <f aca="false">L17/L11</f>
        <v>0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5.65187035182642</v>
      </c>
      <c r="C54" s="30" t="n">
        <f aca="false">J11/C12</f>
        <v>8.16149910039252</v>
      </c>
      <c r="D54" s="30" t="n">
        <f aca="false">K11/D12</f>
        <v>11.5181788574176</v>
      </c>
      <c r="E54" s="30" t="n">
        <f aca="false">L11/E12</f>
        <v>12.3888989523014</v>
      </c>
      <c r="F54" s="30" t="n">
        <f aca="false">M11/F12</f>
        <v>11.7693812829953</v>
      </c>
      <c r="H54" s="29" t="s">
        <v>64</v>
      </c>
      <c r="I54" s="31" t="n">
        <f aca="false">I25/I22</f>
        <v>0</v>
      </c>
      <c r="J54" s="31" t="n">
        <f aca="false">J25/J22</f>
        <v>0.586736286447471</v>
      </c>
      <c r="K54" s="31" t="n">
        <f aca="false">K25/K22</f>
        <v>0</v>
      </c>
      <c r="L54" s="31" t="n">
        <f aca="false">L25/L22</f>
        <v>0.632815869250116</v>
      </c>
      <c r="M54" s="31" t="n">
        <f aca="false">M25/M22</f>
        <v>0.517301805512627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0.166359119451641</v>
      </c>
      <c r="C55" s="31" t="n">
        <f aca="false">(C22-C20)/C16</f>
        <v>0.157133796535989</v>
      </c>
      <c r="D55" s="31" t="n">
        <f aca="false">(D22-D20)/D16</f>
        <v>0.11911085693592</v>
      </c>
      <c r="E55" s="31" t="n">
        <f aca="false">(E22-E20)/E16</f>
        <v>0.125907928629365</v>
      </c>
      <c r="F55" s="31" t="n">
        <f aca="false">(F22-F20)/F16</f>
        <v>0.117126788540502</v>
      </c>
      <c r="H55" s="29" t="s">
        <v>66</v>
      </c>
      <c r="I55" s="31" t="n">
        <f aca="false">I22/I11</f>
        <v>0.36963938816299</v>
      </c>
      <c r="J55" s="31" t="n">
        <f aca="false">J22/J11</f>
        <v>0.60058354817021</v>
      </c>
      <c r="K55" s="31" t="n">
        <f aca="false">K22/K11</f>
        <v>0.712286221452247</v>
      </c>
      <c r="L55" s="31" t="n">
        <f aca="false">L22/L11</f>
        <v>0.745325556704819</v>
      </c>
      <c r="M55" s="31" t="n">
        <f aca="false">M22/M11</f>
        <v>0.776285729545527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0.199557295393445</v>
      </c>
      <c r="C56" s="31" t="n">
        <f aca="false">(C22-C20)/C20</f>
        <v>0.186427924017122</v>
      </c>
      <c r="D56" s="31" t="n">
        <f aca="false">(D22-D20)/D20</f>
        <v>0.135216625013229</v>
      </c>
      <c r="E56" s="31" t="n">
        <f aca="false">(E22-E20)/E20</f>
        <v>0.14404424059348</v>
      </c>
      <c r="F56" s="31" t="n">
        <f aca="false">(F22-F20)/F20</f>
        <v>0.132665468858068</v>
      </c>
      <c r="H56" s="33" t="s">
        <v>68</v>
      </c>
      <c r="I56" s="34" t="n">
        <f aca="false">I13/B16</f>
        <v>0.125352916997362</v>
      </c>
      <c r="J56" s="34" t="n">
        <f aca="false">J13/C16</f>
        <v>0.231355590110699</v>
      </c>
      <c r="K56" s="34" t="n">
        <f aca="false">K13/D16</f>
        <v>0.342186899141352</v>
      </c>
      <c r="L56" s="34" t="n">
        <f aca="false">L13/E16</f>
        <v>0.304297940233135</v>
      </c>
      <c r="M56" s="34" t="n">
        <f aca="false">M13/F16</f>
        <v>0.359667563167205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0.341055451407739</v>
      </c>
      <c r="C57" s="30" t="n">
        <f aca="false">J11/C16</f>
        <v>0.393601496439432</v>
      </c>
      <c r="D57" s="30" t="n">
        <f aca="false">K11/D16</f>
        <v>0.499301491317158</v>
      </c>
      <c r="E57" s="30" t="n">
        <f aca="false">L11/E16</f>
        <v>0.448251807611891</v>
      </c>
      <c r="F57" s="30" t="n">
        <f aca="false">M11/F16</f>
        <v>0.496434631116045</v>
      </c>
      <c r="H57" s="33" t="s">
        <v>70</v>
      </c>
      <c r="I57" s="35" t="n">
        <f aca="false">I25/$C$5</f>
        <v>0</v>
      </c>
      <c r="J57" s="35" t="n">
        <f aca="false">J25/$C$5</f>
        <v>0.0463978905437364</v>
      </c>
      <c r="K57" s="35" t="n">
        <f aca="false">K25/$C$5</f>
        <v>0</v>
      </c>
      <c r="L57" s="35" t="n">
        <f aca="false">L25/$C$5</f>
        <v>0.0742366248699782</v>
      </c>
      <c r="M57" s="35" t="n">
        <f aca="false">M25/$C$5</f>
        <v>0.0742366248699782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1.19955729539345</v>
      </c>
      <c r="C58" s="30" t="n">
        <f aca="false">C16/C20</f>
        <v>1.18642792401712</v>
      </c>
      <c r="D58" s="30" t="n">
        <f aca="false">D16/D20</f>
        <v>1.13521662501323</v>
      </c>
      <c r="E58" s="30" t="n">
        <f aca="false">E16/E20</f>
        <v>1.14404424059348</v>
      </c>
      <c r="F58" s="30" t="n">
        <f aca="false">F16/F20</f>
        <v>1.13266546885807</v>
      </c>
      <c r="H58" s="36" t="s">
        <v>72</v>
      </c>
      <c r="I58" s="37" t="n">
        <f aca="false">I22/$C$7/1000</f>
        <v>2.53914871706883</v>
      </c>
      <c r="J58" s="37" t="n">
        <f aca="false">J22/$C$7/1000</f>
        <v>5.12425005556347</v>
      </c>
      <c r="K58" s="37" t="n">
        <f aca="false">K22/$C$7/1000</f>
        <v>7.63441290292268</v>
      </c>
      <c r="L58" s="37" t="n">
        <f aca="false">L22/$C$7/1000</f>
        <v>7.60179026987384</v>
      </c>
      <c r="M58" s="37" t="n">
        <f aca="false">M22/$C$7/1000</f>
        <v>9.29927842165606</v>
      </c>
    </row>
    <row r="59" customFormat="false" ht="15" hidden="false" customHeight="false" outlineLevel="0" collapsed="false">
      <c r="H59" s="36" t="s">
        <v>73</v>
      </c>
      <c r="I59" s="37" t="n">
        <f aca="false">B20/$C$7/1000</f>
        <v>16.7905106049643</v>
      </c>
      <c r="J59" s="37" t="n">
        <f aca="false">C20/$C$7/1000</f>
        <v>18.2708512737671</v>
      </c>
      <c r="K59" s="37" t="n">
        <f aca="false">D20/$C$7/1000</f>
        <v>18.9094760561479</v>
      </c>
      <c r="L59" s="37" t="n">
        <f aca="false">E20/$C$7/1000</f>
        <v>19.8886361009648</v>
      </c>
      <c r="M59" s="37" t="n">
        <f aca="false">F20/$C$7/1000</f>
        <v>21.3041355884855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30.9718594515138</v>
      </c>
      <c r="J60" s="38" t="n">
        <f aca="false">SQRT(22.5*J58*J59)</f>
        <v>45.8971593863154</v>
      </c>
      <c r="K60" s="38" t="n">
        <f aca="false">SQRT(22.5*K58*K59)</f>
        <v>56.9926471554679</v>
      </c>
      <c r="L60" s="38" t="n">
        <f aca="false">SQRT(22.5*L58*L59)</f>
        <v>58.3245909445661</v>
      </c>
      <c r="M60" s="38" t="n">
        <f aca="false">SQRT(22.5*M58*M59)</f>
        <v>66.7648447038249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1.19590786867169</v>
      </c>
      <c r="J61" s="39" t="n">
        <f aca="false">J58-(C20*0.08/1000/$C$7)</f>
        <v>3.6625819536621</v>
      </c>
      <c r="K61" s="39" t="n">
        <f aca="false">K58-(D20*0.08/1000/$C$7)</f>
        <v>6.12165481843085</v>
      </c>
      <c r="L61" s="39" t="n">
        <f aca="false">L58-(E20*0.08/1000/$C$7)</f>
        <v>6.01069938179665</v>
      </c>
      <c r="M61" s="39" t="n">
        <f aca="false">M58-(F20*0.08/1000/$C$7)</f>
        <v>7.59494757457722</v>
      </c>
    </row>
    <row r="62" customFormat="false" ht="15" hidden="false" customHeight="false" outlineLevel="0" collapsed="false">
      <c r="H62" s="40" t="s">
        <v>76</v>
      </c>
      <c r="I62" s="41" t="n">
        <f aca="false">I25/B7/1000</f>
        <v>0</v>
      </c>
      <c r="J62" s="41" t="n">
        <f aca="false">J25/C7/1000</f>
        <v>3.00658344842956</v>
      </c>
      <c r="K62" s="41" t="n">
        <f aca="false">K25/C7/1000</f>
        <v>0</v>
      </c>
      <c r="L62" s="41" t="n">
        <v>5.8</v>
      </c>
      <c r="M62" s="41" t="n">
        <v>5.17</v>
      </c>
    </row>
    <row r="64" customFormat="false" ht="15" hidden="false" customHeight="false" outlineLevel="0" collapsed="false">
      <c r="A64" s="2" t="s">
        <v>77</v>
      </c>
      <c r="G64" s="2" t="s">
        <v>78</v>
      </c>
    </row>
    <row r="65" customFormat="false" ht="15" hidden="false" customHeight="false" outlineLevel="0" collapsed="false">
      <c r="A65" s="2" t="s">
        <v>79</v>
      </c>
      <c r="G65" s="2" t="s">
        <v>80</v>
      </c>
    </row>
    <row r="66" customFormat="false" ht="15" hidden="false" customHeight="false" outlineLevel="0" collapsed="false">
      <c r="A66" s="2" t="s">
        <v>81</v>
      </c>
      <c r="G66" s="42" t="str">
        <f aca="false">HYPERLINK(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,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)</f>
        <v>http://www.tadawul.com.sa/wps/portal/!ut/p/c1/lYuxDoIwGAYf6f8oVMKoDLVIGrTQ0C6mAxiiFAejr2_dXNSYG--OHEWCv08nf5uW4C_Uk1sdFUpzkBmDSIoEcqf3RcfWDFUevX3z0ByQWW3ashYpgL9u0Rj-ujXTTZVCsh-3HgKp7TIPZMnlH8sNp5asiJH9Gl3nrn-o8fwEVwpGcw!!/dl2/d1/L3dJMjJ3QSEhL3dIRUJGUUJodFFCZ2pRQmdyUUJoSFFCaEFBISEvWUk1dy83X04wQ1ZSSTQyMEcxOTEwSUtTUTlVMkEyMEI1/?symbol=2020&amp;tabOrder=7&amp;companyInfo_statement_type=4&amp;periodShow=0&amp;isXbrl=0</v>
      </c>
    </row>
    <row r="67" customFormat="false" ht="15" hidden="false" customHeight="false" outlineLevel="0" collapsed="false">
      <c r="I67" s="43"/>
      <c r="J67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68" t="n">
        <v>6188.4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12565909</v>
      </c>
      <c r="M6" s="6"/>
    </row>
    <row r="7" customFormat="false" ht="15" hidden="false" customHeight="false" outlineLevel="0" collapsed="false">
      <c r="A7" s="2" t="s">
        <v>2</v>
      </c>
      <c r="B7" s="70" t="n">
        <v>1080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4361742</v>
      </c>
      <c r="C11" s="56" t="n">
        <v>5668959</v>
      </c>
      <c r="D11" s="56" t="n">
        <v>5099412</v>
      </c>
      <c r="E11" s="56" t="n">
        <v>3552478</v>
      </c>
      <c r="G11" s="25" t="s">
        <v>7</v>
      </c>
      <c r="H11" s="56" t="n">
        <v>2211349</v>
      </c>
      <c r="I11" s="56" t="n">
        <v>3056060</v>
      </c>
      <c r="J11" s="56" t="n">
        <v>2931168</v>
      </c>
      <c r="K11" s="56" t="n">
        <v>3557072</v>
      </c>
      <c r="M11" s="25" t="s">
        <v>8</v>
      </c>
      <c r="N11" s="56" t="n">
        <v>368482</v>
      </c>
      <c r="O11" s="56" t="n">
        <v>589515</v>
      </c>
      <c r="P11" s="56" t="n">
        <v>698990</v>
      </c>
      <c r="Q11" s="56" t="n">
        <v>1013967</v>
      </c>
    </row>
    <row r="12" customFormat="false" ht="15" hidden="false" customHeight="false" outlineLevel="0" collapsed="false">
      <c r="A12" s="25" t="s">
        <v>9</v>
      </c>
      <c r="B12" s="57"/>
      <c r="C12" s="57"/>
      <c r="D12" s="57"/>
      <c r="E12" s="57"/>
      <c r="G12" s="25" t="s">
        <v>10</v>
      </c>
      <c r="H12" s="56" t="n">
        <v>1228117</v>
      </c>
      <c r="I12" s="56" t="n">
        <v>1756805</v>
      </c>
      <c r="J12" s="56" t="n">
        <v>1778097</v>
      </c>
      <c r="K12" s="56" t="n">
        <v>2163366</v>
      </c>
      <c r="M12" s="25" t="s">
        <v>11</v>
      </c>
      <c r="N12" s="56" t="n">
        <v>72818</v>
      </c>
      <c r="O12" s="56" t="n">
        <v>56492</v>
      </c>
      <c r="P12" s="56" t="n">
        <v>50499</v>
      </c>
      <c r="Q12" s="56" t="n">
        <v>42521</v>
      </c>
    </row>
    <row r="13" customFormat="false" ht="15" hidden="false" customHeight="false" outlineLevel="0" collapsed="false">
      <c r="A13" s="25" t="s">
        <v>12</v>
      </c>
      <c r="B13" s="56" t="n">
        <v>20875085</v>
      </c>
      <c r="C13" s="56" t="n">
        <v>20642308</v>
      </c>
      <c r="D13" s="56" t="n">
        <v>19023418</v>
      </c>
      <c r="E13" s="56" t="n">
        <v>18349873</v>
      </c>
      <c r="G13" s="25" t="s">
        <v>13</v>
      </c>
      <c r="H13" s="56" t="n">
        <v>983232</v>
      </c>
      <c r="I13" s="56" t="n">
        <v>1299255</v>
      </c>
      <c r="J13" s="56" t="n">
        <v>1153071</v>
      </c>
      <c r="K13" s="56" t="n">
        <v>1393706</v>
      </c>
      <c r="M13" s="25" t="s">
        <v>14</v>
      </c>
      <c r="N13" s="58" t="n">
        <v>-204713</v>
      </c>
      <c r="O13" s="58" t="n">
        <v>-393217</v>
      </c>
      <c r="P13" s="56" t="n">
        <v>128452</v>
      </c>
      <c r="Q13" s="58" t="n">
        <v>-265041</v>
      </c>
    </row>
    <row r="14" customFormat="false" ht="15" hidden="false" customHeight="false" outlineLevel="0" collapsed="false">
      <c r="A14" s="25" t="s">
        <v>15</v>
      </c>
      <c r="B14" s="56" t="n">
        <v>68416</v>
      </c>
      <c r="C14" s="56" t="n">
        <v>71279</v>
      </c>
      <c r="D14" s="56" t="n">
        <v>74370</v>
      </c>
      <c r="E14" s="56" t="n">
        <v>77674</v>
      </c>
      <c r="G14" s="25" t="s">
        <v>16</v>
      </c>
      <c r="H14" s="56" t="n">
        <v>13875</v>
      </c>
      <c r="I14" s="56" t="n">
        <v>62895</v>
      </c>
      <c r="J14" s="56" t="n">
        <v>42570</v>
      </c>
      <c r="K14" s="56" t="n">
        <v>93626</v>
      </c>
      <c r="M14" s="25" t="s">
        <v>9</v>
      </c>
      <c r="N14" s="57"/>
      <c r="O14" s="57"/>
      <c r="P14" s="57"/>
      <c r="Q14" s="57"/>
    </row>
    <row r="15" customFormat="false" ht="15" hidden="false" customHeight="false" outlineLevel="0" collapsed="false">
      <c r="A15" s="25" t="s">
        <v>17</v>
      </c>
      <c r="B15" s="57"/>
      <c r="C15" s="57"/>
      <c r="D15" s="56" t="n">
        <v>132</v>
      </c>
      <c r="E15" s="56" t="n">
        <v>264</v>
      </c>
      <c r="G15" s="25" t="s">
        <v>18</v>
      </c>
      <c r="H15" s="56" t="n">
        <v>997107</v>
      </c>
      <c r="I15" s="56" t="n">
        <v>1362150</v>
      </c>
      <c r="J15" s="56" t="n">
        <v>1195641</v>
      </c>
      <c r="K15" s="56" t="n">
        <v>1487332</v>
      </c>
      <c r="M15" s="25" t="s">
        <v>19</v>
      </c>
      <c r="N15" s="56" t="n">
        <v>15077</v>
      </c>
      <c r="O15" s="56" t="n">
        <v>29542</v>
      </c>
      <c r="P15" s="58" t="n">
        <v>-5290</v>
      </c>
      <c r="Q15" s="56" t="n">
        <v>61744</v>
      </c>
    </row>
    <row r="16" customFormat="false" ht="15" hidden="false" customHeight="false" outlineLevel="0" collapsed="false">
      <c r="A16" s="25" t="s">
        <v>20</v>
      </c>
      <c r="B16" s="56" t="n">
        <v>25305243</v>
      </c>
      <c r="C16" s="56" t="n">
        <v>26382546</v>
      </c>
      <c r="D16" s="56" t="n">
        <v>24197332</v>
      </c>
      <c r="E16" s="56" t="n">
        <v>21980289</v>
      </c>
      <c r="G16" s="25" t="s">
        <v>21</v>
      </c>
      <c r="H16" s="56" t="n">
        <v>204238</v>
      </c>
      <c r="I16" s="56" t="n">
        <v>237453</v>
      </c>
      <c r="J16" s="56" t="n">
        <v>151027</v>
      </c>
      <c r="K16" s="56" t="n">
        <v>153898</v>
      </c>
      <c r="M16" s="25" t="s">
        <v>22</v>
      </c>
      <c r="N16" s="56" t="n">
        <v>5753</v>
      </c>
      <c r="O16" s="58" t="n">
        <v>-99418</v>
      </c>
      <c r="P16" s="56" t="n">
        <v>10965</v>
      </c>
      <c r="Q16" s="58" t="n">
        <v>-82463</v>
      </c>
    </row>
    <row r="17" customFormat="false" ht="15" hidden="false" customHeight="false" outlineLevel="0" collapsed="false">
      <c r="A17" s="25" t="s">
        <v>23</v>
      </c>
      <c r="B17" s="56" t="n">
        <v>2596980</v>
      </c>
      <c r="C17" s="56" t="n">
        <v>3337922</v>
      </c>
      <c r="D17" s="56" t="n">
        <v>2027894</v>
      </c>
      <c r="E17" s="56" t="n">
        <v>2362996</v>
      </c>
      <c r="G17" s="25" t="s">
        <v>11</v>
      </c>
      <c r="H17" s="56" t="n">
        <v>3593</v>
      </c>
      <c r="I17" s="56" t="n">
        <v>3691</v>
      </c>
      <c r="J17" s="56" t="n">
        <v>4011</v>
      </c>
      <c r="K17" s="56" t="n">
        <v>21197</v>
      </c>
      <c r="M17" s="25" t="s">
        <v>24</v>
      </c>
      <c r="N17" s="56" t="n">
        <v>233845</v>
      </c>
      <c r="O17" s="56" t="n">
        <v>149768</v>
      </c>
      <c r="P17" s="56" t="n">
        <v>121471</v>
      </c>
      <c r="Q17" s="58" t="n">
        <v>-85689</v>
      </c>
    </row>
    <row r="18" customFormat="false" ht="15" hidden="false" customHeight="false" outlineLevel="0" collapsed="false">
      <c r="A18" s="25" t="s">
        <v>25</v>
      </c>
      <c r="B18" s="56" t="n">
        <v>4781590</v>
      </c>
      <c r="C18" s="56" t="n">
        <v>5477108</v>
      </c>
      <c r="D18" s="56" t="n">
        <v>5176617</v>
      </c>
      <c r="E18" s="56" t="n">
        <v>3305934</v>
      </c>
      <c r="G18" s="25" t="s">
        <v>26</v>
      </c>
      <c r="H18" s="56" t="n">
        <v>420794</v>
      </c>
      <c r="I18" s="56" t="n">
        <v>531491</v>
      </c>
      <c r="J18" s="56" t="n">
        <v>341613</v>
      </c>
      <c r="K18" s="56" t="n">
        <v>298270</v>
      </c>
      <c r="M18" s="25" t="s">
        <v>27</v>
      </c>
      <c r="N18" s="58" t="n">
        <v>-730</v>
      </c>
      <c r="O18" s="58" t="n">
        <v>-600</v>
      </c>
      <c r="P18" s="58" t="n">
        <v>-707</v>
      </c>
      <c r="Q18" s="58" t="n">
        <v>-455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628625</v>
      </c>
      <c r="I19" s="56" t="n">
        <v>772635</v>
      </c>
      <c r="J19" s="56" t="n">
        <v>496651</v>
      </c>
      <c r="K19" s="56" t="n">
        <v>473365</v>
      </c>
      <c r="M19" s="25" t="s">
        <v>30</v>
      </c>
      <c r="N19" s="58" t="n">
        <v>-448249</v>
      </c>
      <c r="O19" s="58" t="n">
        <v>-1965370</v>
      </c>
      <c r="P19" s="58" t="n">
        <v>-750740</v>
      </c>
      <c r="Q19" s="56" t="n">
        <v>379154</v>
      </c>
    </row>
    <row r="20" customFormat="false" ht="15" hidden="false" customHeight="false" outlineLevel="0" collapsed="false">
      <c r="A20" s="25" t="s">
        <v>31</v>
      </c>
      <c r="B20" s="56" t="n">
        <v>17926673</v>
      </c>
      <c r="C20" s="56" t="n">
        <v>17567516</v>
      </c>
      <c r="D20" s="56" t="n">
        <v>16992821</v>
      </c>
      <c r="E20" s="56" t="n">
        <v>16311359</v>
      </c>
      <c r="G20" s="25" t="s">
        <v>32</v>
      </c>
      <c r="H20" s="56" t="n">
        <v>368482</v>
      </c>
      <c r="I20" s="56" t="n">
        <v>589515</v>
      </c>
      <c r="J20" s="56" t="n">
        <v>698990</v>
      </c>
      <c r="K20" s="56" t="n">
        <v>1013967</v>
      </c>
      <c r="M20" s="25" t="s">
        <v>33</v>
      </c>
      <c r="N20" s="58" t="n">
        <v>-1350059</v>
      </c>
      <c r="O20" s="56" t="n">
        <v>1664986</v>
      </c>
      <c r="P20" s="56" t="n">
        <v>1491576</v>
      </c>
      <c r="Q20" s="58" t="n">
        <v>-3041138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9325</v>
      </c>
      <c r="I21" s="56" t="n">
        <v>14820</v>
      </c>
      <c r="J21" s="56" t="n">
        <v>17528</v>
      </c>
      <c r="K21" s="56" t="n">
        <v>25430</v>
      </c>
      <c r="M21" s="25" t="s">
        <v>36</v>
      </c>
      <c r="N21" s="56" t="n">
        <v>1173641</v>
      </c>
      <c r="O21" s="58" t="n">
        <v>-1175634</v>
      </c>
      <c r="P21" s="58" t="n">
        <v>-1855</v>
      </c>
      <c r="Q21" s="56" t="n">
        <v>7397</v>
      </c>
    </row>
    <row r="22" customFormat="false" ht="15" hidden="false" customHeight="false" outlineLevel="0" collapsed="false">
      <c r="A22" s="25" t="s">
        <v>37</v>
      </c>
      <c r="B22" s="56" t="n">
        <v>25305243</v>
      </c>
      <c r="C22" s="56" t="n">
        <v>26382546</v>
      </c>
      <c r="D22" s="56" t="n">
        <v>24197332</v>
      </c>
      <c r="E22" s="56" t="n">
        <v>21980289</v>
      </c>
      <c r="G22" s="25" t="s">
        <v>8</v>
      </c>
      <c r="H22" s="56" t="n">
        <v>359157</v>
      </c>
      <c r="I22" s="56" t="n">
        <v>574695</v>
      </c>
      <c r="J22" s="56" t="n">
        <v>681462</v>
      </c>
      <c r="K22" s="56" t="n">
        <v>988537</v>
      </c>
      <c r="M22" s="25" t="s">
        <v>38</v>
      </c>
      <c r="N22" s="56" t="n">
        <v>1135196</v>
      </c>
      <c r="O22" s="56" t="n">
        <v>2279132</v>
      </c>
      <c r="P22" s="56" t="n">
        <v>535771</v>
      </c>
      <c r="Q22" s="56" t="n">
        <v>2505774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7"/>
      <c r="M23" s="25" t="s">
        <v>40</v>
      </c>
      <c r="N23" s="56" t="n">
        <v>1001061</v>
      </c>
      <c r="O23" s="56" t="n">
        <v>1135196</v>
      </c>
      <c r="P23" s="56" t="n">
        <v>2279132</v>
      </c>
      <c r="Q23" s="56" t="n">
        <v>535771</v>
      </c>
    </row>
    <row r="24" customFormat="false" ht="15" hidden="false" customHeight="false" outlineLevel="0" collapsed="false">
      <c r="B24" s="28" t="n">
        <f aca="false">H20/B22</f>
        <v>0.0145614883050125</v>
      </c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491262</v>
      </c>
      <c r="O24" s="12" t="n">
        <f aca="false">SUM(O11:O17)</f>
        <v>332682</v>
      </c>
      <c r="P24" s="12" t="n">
        <f aca="false">SUM(P11:P17)</f>
        <v>1005087</v>
      </c>
      <c r="Q24" s="12" t="n">
        <f aca="false">SUM(Q11:Q17)</f>
        <v>685039</v>
      </c>
    </row>
    <row r="25" customFormat="false" ht="15" hidden="false" customHeight="false" outlineLevel="0" collapsed="false">
      <c r="G25" s="25" t="s">
        <v>43</v>
      </c>
      <c r="H25" s="57" t="n">
        <v>0</v>
      </c>
      <c r="I25" s="57" t="n">
        <v>0</v>
      </c>
      <c r="J25" s="57" t="n">
        <v>0</v>
      </c>
      <c r="K25" s="57" t="n">
        <v>0</v>
      </c>
      <c r="M25" s="2" t="s">
        <v>44</v>
      </c>
      <c r="N25" s="12" t="n">
        <f aca="false">N18+N19</f>
        <v>-448979</v>
      </c>
      <c r="O25" s="12" t="n">
        <f aca="false">O18+O19</f>
        <v>-1965970</v>
      </c>
      <c r="P25" s="12" t="n">
        <f aca="false">P18+P19</f>
        <v>-751447</v>
      </c>
      <c r="Q25" s="12" t="n">
        <f aca="false">Q18+Q19</f>
        <v>378699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-176418</v>
      </c>
      <c r="O26" s="12" t="n">
        <f aca="false">O20+O21</f>
        <v>489352</v>
      </c>
      <c r="P26" s="12" t="n">
        <f aca="false">P20+P21</f>
        <v>1489721</v>
      </c>
      <c r="Q26" s="12" t="n">
        <f aca="false">Q20+Q21</f>
        <v>-3033741</v>
      </c>
    </row>
    <row r="27" customFormat="false" ht="15" hidden="false" customHeight="false" outlineLevel="0" collapsed="false">
      <c r="G27" s="25" t="s">
        <v>47</v>
      </c>
      <c r="H27" s="57"/>
      <c r="I27" s="56" t="n">
        <v>574695</v>
      </c>
      <c r="J27" s="56" t="n">
        <v>681462</v>
      </c>
      <c r="K27" s="56" t="n">
        <v>988537</v>
      </c>
      <c r="M27" s="2" t="s">
        <v>48</v>
      </c>
      <c r="N27" s="12" t="n">
        <f aca="false">N24+N25+N26</f>
        <v>-134135</v>
      </c>
      <c r="O27" s="12" t="n">
        <f aca="false">O24+O25+O26</f>
        <v>-1143936</v>
      </c>
      <c r="P27" s="12" t="n">
        <f aca="false">P24+P25+P26</f>
        <v>1743361</v>
      </c>
      <c r="Q27" s="12" t="n">
        <f aca="false">Q24+Q25+Q26</f>
        <v>-1970003</v>
      </c>
    </row>
    <row r="28" customFormat="false" ht="15" hidden="false" customHeight="false" outlineLevel="0" collapsed="false">
      <c r="M28" s="2" t="s">
        <v>104</v>
      </c>
      <c r="N28" s="12" t="n">
        <f aca="false">N24+N18</f>
        <v>490532</v>
      </c>
      <c r="O28" s="12" t="n">
        <f aca="false">O24+O18</f>
        <v>332082</v>
      </c>
      <c r="P28" s="12" t="n">
        <f aca="false">P24+P18</f>
        <v>1004380</v>
      </c>
      <c r="Q28" s="12" t="n">
        <f aca="false">Q24+Q18</f>
        <v>684584</v>
      </c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0.172365149783387</v>
      </c>
      <c r="C30" s="24" t="n">
        <f aca="false">C11/C$16</f>
        <v>0.21487535736695</v>
      </c>
      <c r="D30" s="24" t="n">
        <f aca="false">D11/D$16</f>
        <v>0.210742738083686</v>
      </c>
      <c r="E30" s="24" t="n">
        <f aca="false">E11/E$16</f>
        <v>0.161621077866629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0.166632223136194</v>
      </c>
      <c r="O30" s="26" t="n">
        <f aca="false">O11/I$11</f>
        <v>0.192900335726393</v>
      </c>
      <c r="P30" s="26" t="n">
        <f aca="false">P11/J$11</f>
        <v>0.238468078254129</v>
      </c>
      <c r="Q30" s="26" t="n">
        <f aca="false">Q11/K$11</f>
        <v>0.285056642092148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0</v>
      </c>
      <c r="D31" s="24" t="n">
        <f aca="false">D12/D$16</f>
        <v>0</v>
      </c>
      <c r="E31" s="24" t="n">
        <f aca="false">E12/E$16</f>
        <v>0</v>
      </c>
      <c r="F31" s="6"/>
      <c r="G31" s="25" t="s">
        <v>10</v>
      </c>
      <c r="H31" s="24" t="n">
        <f aca="false">H12/H$11</f>
        <v>0.555370047875754</v>
      </c>
      <c r="I31" s="24" t="n">
        <f aca="false">I12/I$11</f>
        <v>0.574859459565584</v>
      </c>
      <c r="J31" s="24" t="n">
        <f aca="false">J12/J$11</f>
        <v>0.606617225624734</v>
      </c>
      <c r="K31" s="24" t="n">
        <f aca="false">K12/K$11</f>
        <v>0.608187295618419</v>
      </c>
      <c r="L31" s="6"/>
      <c r="M31" s="25" t="s">
        <v>11</v>
      </c>
      <c r="N31" s="26" t="n">
        <f aca="false">N12/H$11</f>
        <v>0.0329292210320488</v>
      </c>
      <c r="O31" s="26" t="n">
        <f aca="false">O12/I$11</f>
        <v>0.0184852391641525</v>
      </c>
      <c r="P31" s="26" t="n">
        <f aca="false">P12/J$11</f>
        <v>0.0172282857891462</v>
      </c>
      <c r="Q31" s="26" t="n">
        <f aca="false">Q12/K$11</f>
        <v>0.0119539328976192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0.824931220775078</v>
      </c>
      <c r="C32" s="24" t="n">
        <f aca="false">C13/C$16</f>
        <v>0.782422894287761</v>
      </c>
      <c r="D32" s="24" t="n">
        <f aca="false">D13/D$16</f>
        <v>0.786178327428826</v>
      </c>
      <c r="E32" s="24" t="n">
        <f aca="false">E13/E$16</f>
        <v>0.834833108882235</v>
      </c>
      <c r="F32" s="6"/>
      <c r="G32" s="25" t="s">
        <v>13</v>
      </c>
      <c r="H32" s="24" t="n">
        <f aca="false">H13/H$11</f>
        <v>0.444629952124246</v>
      </c>
      <c r="I32" s="24" t="n">
        <f aca="false">I13/I$11</f>
        <v>0.425140540434416</v>
      </c>
      <c r="J32" s="24" t="n">
        <f aca="false">J13/J$11</f>
        <v>0.393382774375266</v>
      </c>
      <c r="K32" s="24" t="n">
        <f aca="false">K13/K$11</f>
        <v>0.391812704381581</v>
      </c>
      <c r="L32" s="6"/>
      <c r="M32" s="25" t="s">
        <v>14</v>
      </c>
      <c r="N32" s="26" t="n">
        <f aca="false">N13/H$11</f>
        <v>-0.0925738090188387</v>
      </c>
      <c r="O32" s="26" t="n">
        <f aca="false">O13/I$11</f>
        <v>-0.128667958089828</v>
      </c>
      <c r="P32" s="26" t="n">
        <f aca="false">P13/J$11</f>
        <v>0.0438228037423989</v>
      </c>
      <c r="Q32" s="26" t="n">
        <f aca="false">Q13/K$11</f>
        <v>-0.0745110023075158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0.0027036294415351</v>
      </c>
      <c r="C33" s="24" t="n">
        <f aca="false">C14/C$16</f>
        <v>0.00270174834528859</v>
      </c>
      <c r="D33" s="24" t="n">
        <f aca="false">D14/D$16</f>
        <v>0.00307347934061491</v>
      </c>
      <c r="E33" s="24" t="n">
        <f aca="false">E14/E$16</f>
        <v>0.00353380249004005</v>
      </c>
      <c r="F33" s="6"/>
      <c r="G33" s="25" t="s">
        <v>16</v>
      </c>
      <c r="H33" s="24" t="n">
        <f aca="false">H14/H$11</f>
        <v>0.00627445057293082</v>
      </c>
      <c r="I33" s="24" t="n">
        <f aca="false">I14/I$11</f>
        <v>0.0205804205414815</v>
      </c>
      <c r="J33" s="24" t="n">
        <f aca="false">J14/J$11</f>
        <v>0.0145232207775194</v>
      </c>
      <c r="K33" s="24" t="n">
        <f aca="false">K14/K$11</f>
        <v>0.0263210865565836</v>
      </c>
      <c r="L33" s="6"/>
      <c r="M33" s="25" t="s">
        <v>9</v>
      </c>
      <c r="N33" s="26" t="n">
        <f aca="false">N14/H$11</f>
        <v>0</v>
      </c>
      <c r="O33" s="26" t="n">
        <f aca="false">O14/I$11</f>
        <v>0</v>
      </c>
      <c r="P33" s="26" t="n">
        <f aca="false">P14/J$11</f>
        <v>0</v>
      </c>
      <c r="Q33" s="26" t="n">
        <f aca="false">Q14/K$11</f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5.45514687321726E-006</v>
      </c>
      <c r="E34" s="24" t="n">
        <f aca="false">E15/E$16</f>
        <v>1.20107610959983E-005</v>
      </c>
      <c r="F34" s="6"/>
      <c r="G34" s="25" t="s">
        <v>18</v>
      </c>
      <c r="H34" s="24" t="n">
        <f aca="false">H15/H$11</f>
        <v>0.450904402697177</v>
      </c>
      <c r="I34" s="24" t="n">
        <f aca="false">I15/I$11</f>
        <v>0.445720960975897</v>
      </c>
      <c r="J34" s="24" t="n">
        <f aca="false">J15/J$11</f>
        <v>0.407905995152786</v>
      </c>
      <c r="K34" s="24" t="n">
        <f aca="false">K15/K$11</f>
        <v>0.418133790938165</v>
      </c>
      <c r="L34" s="6"/>
      <c r="M34" s="25" t="s">
        <v>19</v>
      </c>
      <c r="N34" s="26" t="n">
        <f aca="false">N15/H$11</f>
        <v>0.00681801018292454</v>
      </c>
      <c r="O34" s="26" t="n">
        <f aca="false">O15/I$11</f>
        <v>0.00966669502562123</v>
      </c>
      <c r="P34" s="26" t="n">
        <f aca="false">P15/J$11</f>
        <v>-0.00180474131813666</v>
      </c>
      <c r="Q34" s="26" t="n">
        <f aca="false">Q15/K$11</f>
        <v>0.0173580967717269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0.0923590080082339</v>
      </c>
      <c r="I35" s="24" t="n">
        <f aca="false">I16/I$11</f>
        <v>0.0776990635000622</v>
      </c>
      <c r="J35" s="24" t="n">
        <f aca="false">J16/J$11</f>
        <v>0.0515245117304774</v>
      </c>
      <c r="K35" s="24" t="n">
        <f aca="false">K16/K$11</f>
        <v>0.0432653598240351</v>
      </c>
      <c r="L35" s="6"/>
      <c r="M35" s="25" t="s">
        <v>22</v>
      </c>
      <c r="N35" s="26" t="n">
        <f aca="false">N16/H$11</f>
        <v>0.00260157939791503</v>
      </c>
      <c r="O35" s="26" t="n">
        <f aca="false">O16/I$11</f>
        <v>-0.0325314293567535</v>
      </c>
      <c r="P35" s="26" t="n">
        <f aca="false">P16/J$11</f>
        <v>0.00374082959420954</v>
      </c>
      <c r="Q35" s="26" t="n">
        <f aca="false">Q16/K$11</f>
        <v>-0.0231828312724623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0.102626163281657</v>
      </c>
      <c r="C36" s="24" t="n">
        <f aca="false">C17/C$16</f>
        <v>0.126520086423805</v>
      </c>
      <c r="D36" s="24" t="n">
        <f aca="false">D17/D$16</f>
        <v>0.0838065122220913</v>
      </c>
      <c r="E36" s="24" t="n">
        <f aca="false">E17/E$16</f>
        <v>0.107505228889393</v>
      </c>
      <c r="F36" s="6"/>
      <c r="G36" s="25" t="s">
        <v>11</v>
      </c>
      <c r="H36" s="24" t="n">
        <f aca="false">H17/H$11</f>
        <v>0.00162480006548039</v>
      </c>
      <c r="I36" s="24" t="n">
        <f aca="false">I17/I$11</f>
        <v>0.00120776424546638</v>
      </c>
      <c r="J36" s="24" t="n">
        <f aca="false">J17/J$11</f>
        <v>0.00136839648904464</v>
      </c>
      <c r="K36" s="24" t="n">
        <f aca="false">K17/K$11</f>
        <v>0.00595911468758575</v>
      </c>
      <c r="L36" s="6"/>
      <c r="M36" s="25" t="s">
        <v>24</v>
      </c>
      <c r="N36" s="26" t="n">
        <f aca="false">N17/H$11</f>
        <v>0.105747668052397</v>
      </c>
      <c r="O36" s="26" t="n">
        <f aca="false">O17/I$11</f>
        <v>0.0490068912259576</v>
      </c>
      <c r="P36" s="26" t="n">
        <f aca="false">P17/J$11</f>
        <v>0.041441159292132</v>
      </c>
      <c r="Q36" s="26" t="n">
        <f aca="false">Q17/K$11</f>
        <v>-0.0240897569686529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0.188956494114678</v>
      </c>
      <c r="C37" s="24" t="n">
        <f aca="false">C18/C$16</f>
        <v>0.207603466322015</v>
      </c>
      <c r="D37" s="24" t="n">
        <f aca="false">D18/D$16</f>
        <v>0.213933379101465</v>
      </c>
      <c r="E37" s="24" t="n">
        <f aca="false">E18/E$16</f>
        <v>0.150404482852796</v>
      </c>
      <c r="F37" s="6"/>
      <c r="G37" s="25" t="s">
        <v>26</v>
      </c>
      <c r="H37" s="24" t="n">
        <f aca="false">H18/H$11</f>
        <v>0.190288371487269</v>
      </c>
      <c r="I37" s="24" t="n">
        <f aca="false">I18/I$11</f>
        <v>0.173913797503976</v>
      </c>
      <c r="J37" s="24" t="n">
        <f aca="false">J18/J$11</f>
        <v>0.116545008679134</v>
      </c>
      <c r="K37" s="24" t="n">
        <f aca="false">K18/K$11</f>
        <v>0.0838526743343964</v>
      </c>
      <c r="L37" s="6"/>
      <c r="M37" s="25" t="s">
        <v>27</v>
      </c>
      <c r="N37" s="26" t="n">
        <f aca="false">N18/H$11</f>
        <v>-0.000330115237350595</v>
      </c>
      <c r="O37" s="26" t="n">
        <f aca="false">O18/I$11</f>
        <v>-0.000196331223863406</v>
      </c>
      <c r="P37" s="26" t="n">
        <f aca="false">P18/J$11</f>
        <v>-0.000241200777301062</v>
      </c>
      <c r="Q37" s="26" t="n">
        <f aca="false">Q18/K$11</f>
        <v>-0.000127914194596005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0.284272179560983</v>
      </c>
      <c r="I38" s="24" t="n">
        <f aca="false">I19/I$11</f>
        <v>0.252820625249504</v>
      </c>
      <c r="J38" s="24" t="n">
        <f aca="false">J19/J$11</f>
        <v>0.169437916898656</v>
      </c>
      <c r="K38" s="24" t="n">
        <f aca="false">K19/K$11</f>
        <v>0.133077148846017</v>
      </c>
      <c r="L38" s="6"/>
      <c r="M38" s="25" t="s">
        <v>30</v>
      </c>
      <c r="N38" s="26" t="n">
        <f aca="false">N19/H$11</f>
        <v>-0.202703869900228</v>
      </c>
      <c r="O38" s="26" t="n">
        <f aca="false">O19/I$11</f>
        <v>-0.643105829074036</v>
      </c>
      <c r="P38" s="26" t="n">
        <f aca="false">P19/J$11</f>
        <v>-0.256123156366336</v>
      </c>
      <c r="Q38" s="26" t="n">
        <f aca="false">Q19/K$11</f>
        <v>0.106591601182096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0.708417342603665</v>
      </c>
      <c r="C39" s="24" t="n">
        <f aca="false">C20/C$16</f>
        <v>0.665876447254181</v>
      </c>
      <c r="D39" s="24" t="n">
        <f aca="false">D20/D$16</f>
        <v>0.702260108676444</v>
      </c>
      <c r="E39" s="24" t="n">
        <f aca="false">E20/E$16</f>
        <v>0.742090288257811</v>
      </c>
      <c r="F39" s="6"/>
      <c r="G39" s="25" t="s">
        <v>32</v>
      </c>
      <c r="H39" s="24" t="n">
        <f aca="false">H20/H$11</f>
        <v>0.166632223136194</v>
      </c>
      <c r="I39" s="24" t="n">
        <f aca="false">I20/I$11</f>
        <v>0.192900335726393</v>
      </c>
      <c r="J39" s="24" t="n">
        <f aca="false">J20/J$11</f>
        <v>0.238468078254129</v>
      </c>
      <c r="K39" s="24" t="n">
        <f aca="false">K20/K$11</f>
        <v>0.285056642092148</v>
      </c>
      <c r="L39" s="6"/>
      <c r="M39" s="25" t="s">
        <v>33</v>
      </c>
      <c r="N39" s="26" t="n">
        <f aca="false">N20/H$11</f>
        <v>-0.610513763318228</v>
      </c>
      <c r="O39" s="26" t="n">
        <f aca="false">O20/I$11</f>
        <v>0.544814565159061</v>
      </c>
      <c r="P39" s="26" t="n">
        <f aca="false">P20/J$11</f>
        <v>0.508867454884879</v>
      </c>
      <c r="Q39" s="26" t="n">
        <f aca="false">Q20/K$11</f>
        <v>-0.854955424011659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0.00421688299766342</v>
      </c>
      <c r="I40" s="24" t="n">
        <f aca="false">I21/I$11</f>
        <v>0.00484938122942612</v>
      </c>
      <c r="J40" s="24" t="n">
        <f aca="false">J21/J$11</f>
        <v>0.00597986877586</v>
      </c>
      <c r="K40" s="24" t="n">
        <f aca="false">K21/K$11</f>
        <v>0.00714913839247561</v>
      </c>
      <c r="L40" s="6"/>
      <c r="M40" s="25" t="s">
        <v>36</v>
      </c>
      <c r="N40" s="26" t="n">
        <f aca="false">N21/H$11</f>
        <v>0.530735311341629</v>
      </c>
      <c r="O40" s="26" t="n">
        <f aca="false">O21/I$11</f>
        <v>-0.384689436725719</v>
      </c>
      <c r="P40" s="26" t="n">
        <f aca="false">P21/J$11</f>
        <v>-0.000632853524601797</v>
      </c>
      <c r="Q40" s="26" t="n">
        <f aca="false">Q21/K$11</f>
        <v>0.00207951933500362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0.162415340138531</v>
      </c>
      <c r="I41" s="24" t="n">
        <f aca="false">I22/I$11</f>
        <v>0.188050954496967</v>
      </c>
      <c r="J41" s="24" t="n">
        <f aca="false">J22/J$11</f>
        <v>0.232488209478269</v>
      </c>
      <c r="K41" s="24" t="n">
        <f aca="false">K22/K$11</f>
        <v>0.277907503699672</v>
      </c>
      <c r="L41" s="6"/>
      <c r="M41" s="25" t="s">
        <v>38</v>
      </c>
      <c r="N41" s="26" t="n">
        <f aca="false">N22/H$11</f>
        <v>0.513349995862254</v>
      </c>
      <c r="O41" s="26" t="n">
        <f aca="false">O22/I$11</f>
        <v>0.745774624843753</v>
      </c>
      <c r="P41" s="26" t="n">
        <f aca="false">P22/J$11</f>
        <v>0.182784132468695</v>
      </c>
      <c r="Q41" s="26" t="n">
        <f aca="false">Q22/K$11</f>
        <v>0.704448490218922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0.452692451530717</v>
      </c>
      <c r="O42" s="26" t="n">
        <f aca="false">O23/I$11</f>
        <v>0.371457366674738</v>
      </c>
      <c r="P42" s="26" t="n">
        <f aca="false">P23/J$11</f>
        <v>0.777550792039214</v>
      </c>
      <c r="Q42" s="26" t="n">
        <f aca="false">Q23/K$11</f>
        <v>0.150621353742629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0.222154892782641</v>
      </c>
      <c r="O43" s="26" t="n">
        <f aca="false">O24/I11</f>
        <v>0.108859773695543</v>
      </c>
      <c r="P43" s="26" t="n">
        <f aca="false">P24/J11</f>
        <v>0.342896415353879</v>
      </c>
      <c r="Q43" s="26" t="n">
        <f aca="false">Q24/K11</f>
        <v>0.192585081212863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0.0194134472449049</v>
      </c>
      <c r="O44" s="26" t="n">
        <f aca="false">O24/C16</f>
        <v>0.0126099277908963</v>
      </c>
      <c r="P44" s="26" t="n">
        <f aca="false">P24/D16</f>
        <v>0.041537100040616</v>
      </c>
      <c r="Q44" s="26" t="n">
        <f aca="false">Q24/E16</f>
        <v>0.0311660597365212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0.0274039694928334</v>
      </c>
      <c r="O45" s="26" t="n">
        <f aca="false">O24/C20</f>
        <v>0.0189373386652956</v>
      </c>
      <c r="P45" s="26" t="n">
        <f aca="false">P24/D20</f>
        <v>0.0591477424495909</v>
      </c>
      <c r="Q45" s="26" t="n">
        <f aca="false">Q24/E20</f>
        <v>0.041997665553189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0.188050954496967</v>
      </c>
      <c r="J46" s="24" t="n">
        <f aca="false">J27/J$11</f>
        <v>0.232488209478269</v>
      </c>
      <c r="K46" s="24" t="n">
        <f aca="false">K27/K$11</f>
        <v>0.277907503699672</v>
      </c>
      <c r="L46" s="6"/>
      <c r="M46" s="2" t="s">
        <v>52</v>
      </c>
      <c r="N46" s="26" t="n">
        <f aca="false">N24/H22</f>
        <v>1.36781964433382</v>
      </c>
      <c r="O46" s="26" t="n">
        <f aca="false">O24/I22</f>
        <v>0.578884451752669</v>
      </c>
      <c r="P46" s="26" t="n">
        <f aca="false">P24/J22</f>
        <v>1.47489808676052</v>
      </c>
      <c r="Q46" s="26" t="n">
        <f aca="false">Q24/K22</f>
        <v>0.692982660234265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0.0665795675855891</v>
      </c>
      <c r="O47" s="26" t="n">
        <f aca="false">O24/(C22-C20)</f>
        <v>0.0377403139864527</v>
      </c>
      <c r="P47" s="26" t="n">
        <f aca="false">P24/(D22-D20)</f>
        <v>0.139508011022539</v>
      </c>
      <c r="Q47" s="26" t="n">
        <f aca="false">Q24/(E22-E20)</f>
        <v>0.120840969989046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672.961643835616</v>
      </c>
      <c r="O49" s="26" t="n">
        <f aca="false">O24/(O18*-1)</f>
        <v>554.47</v>
      </c>
      <c r="P49" s="26" t="n">
        <f aca="false">P24/(P18*-1)</f>
        <v>1421.62234794908</v>
      </c>
      <c r="Q49" s="26" t="n">
        <f aca="false">Q24/(Q18*-1)</f>
        <v>1505.58021978022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-0.278701197747013</v>
      </c>
      <c r="I50" s="28" t="n">
        <f aca="false">LN(I13/J13)</f>
        <v>0.119362205391133</v>
      </c>
      <c r="J50" s="28" t="n">
        <f aca="false">LN(J13/K13)</f>
        <v>-0.1895375683393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1.6795439317977</v>
      </c>
      <c r="C51" s="30" t="n">
        <f aca="false">C11/C17</f>
        <v>1.69834975173177</v>
      </c>
      <c r="D51" s="30" t="n">
        <f aca="false">D11/D17</f>
        <v>2.51463439410541</v>
      </c>
      <c r="E51" s="30" t="n">
        <f aca="false">E11/E17</f>
        <v>1.50337876153832</v>
      </c>
      <c r="G51" s="29" t="s">
        <v>58</v>
      </c>
      <c r="H51" s="63" t="n">
        <f aca="false">H13/H11</f>
        <v>0.444629952124246</v>
      </c>
      <c r="I51" s="63" t="n">
        <f aca="false">I13/I11</f>
        <v>0.425140540434416</v>
      </c>
      <c r="J51" s="63" t="n">
        <f aca="false">J13/J11</f>
        <v>0.393382774375266</v>
      </c>
      <c r="K51" s="63" t="n">
        <f aca="false">K13/K11</f>
        <v>0.391812704381581</v>
      </c>
      <c r="M51" s="2" t="s">
        <v>59</v>
      </c>
      <c r="N51" s="32" t="n">
        <f aca="false">(N11-N24-N25)/B16</f>
        <v>0.0128905697526793</v>
      </c>
      <c r="O51" s="32" t="n">
        <f aca="false">(O11-O24-O25)/C16</f>
        <v>0.0842527859138386</v>
      </c>
      <c r="P51" s="32" t="n">
        <f aca="false">(P11-P24-P25)/D16</f>
        <v>0.0184049216665705</v>
      </c>
      <c r="Q51" s="32" t="n">
        <f aca="false">(Q11-Q24-Q25)/E16</f>
        <v>-0.00226434693374596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0.0145614883050125</v>
      </c>
      <c r="C52" s="31" t="n">
        <f aca="false">I20/C16</f>
        <v>0.0223448866534716</v>
      </c>
      <c r="D52" s="31" t="n">
        <f aca="false">J20/D16</f>
        <v>0.028887069037198</v>
      </c>
      <c r="E52" s="31" t="n">
        <f aca="false">K20/E16</f>
        <v>0.0461307401372202</v>
      </c>
      <c r="F52" s="31"/>
      <c r="G52" s="29" t="s">
        <v>61</v>
      </c>
      <c r="H52" s="63" t="n">
        <f aca="false">H16/H11</f>
        <v>0.0923590080082339</v>
      </c>
      <c r="I52" s="63" t="n">
        <f aca="false">I16/I11</f>
        <v>0.0776990635000622</v>
      </c>
      <c r="J52" s="63" t="n">
        <f aca="false">J16/J11</f>
        <v>0.0515245117304774</v>
      </c>
      <c r="K52" s="63" t="n">
        <f aca="false">K16/K11</f>
        <v>0.0432653598240351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0.0205549574089961</v>
      </c>
      <c r="C53" s="31" t="n">
        <f aca="false">I20/C20</f>
        <v>0.033557106195321</v>
      </c>
      <c r="D53" s="31" t="n">
        <f aca="false">J20/D20</f>
        <v>0.0411344296512039</v>
      </c>
      <c r="E53" s="31" t="n">
        <f aca="false">K20/E20</f>
        <v>0.0621632446444223</v>
      </c>
      <c r="G53" s="29" t="s">
        <v>11</v>
      </c>
      <c r="H53" s="71" t="n">
        <f aca="false">H17/H11</f>
        <v>0.00162480006548039</v>
      </c>
      <c r="I53" s="71" t="n">
        <f aca="false">I17/I11</f>
        <v>0.00120776424546638</v>
      </c>
      <c r="J53" s="71" t="n">
        <f aca="false">J17/J11</f>
        <v>0.00136839648904464</v>
      </c>
      <c r="K53" s="71" t="n">
        <f aca="false">K17/K11</f>
        <v>0.00595911468758575</v>
      </c>
      <c r="M53" s="6"/>
    </row>
    <row r="54" customFormat="false" ht="15" hidden="false" customHeight="false" outlineLevel="0" collapsed="false">
      <c r="A54" s="29" t="s">
        <v>63</v>
      </c>
      <c r="B54" s="30" t="e">
        <f aca="false">H11/B12</f>
        <v>#DIV/0!</v>
      </c>
      <c r="C54" s="30" t="e">
        <f aca="false">I11/C12</f>
        <v>#DIV/0!</v>
      </c>
      <c r="D54" s="30" t="e">
        <f aca="false">J11/D12</f>
        <v>#DIV/0!</v>
      </c>
      <c r="E54" s="30" t="e">
        <f aca="false">K11/E12</f>
        <v>#DIV/0!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0.291582657396335</v>
      </c>
      <c r="C55" s="31" t="n">
        <f aca="false">(C22-C20)/C16</f>
        <v>0.334123552745819</v>
      </c>
      <c r="D55" s="31" t="n">
        <f aca="false">(D22-D20)/D16</f>
        <v>0.297739891323556</v>
      </c>
      <c r="E55" s="31" t="n">
        <f aca="false">(E22-E20)/E16</f>
        <v>0.257909711742189</v>
      </c>
      <c r="G55" s="29" t="s">
        <v>66</v>
      </c>
      <c r="H55" s="63" t="n">
        <f aca="false">H22/H11</f>
        <v>0.162415340138531</v>
      </c>
      <c r="I55" s="63" t="n">
        <f aca="false">I22/I11</f>
        <v>0.188050954496967</v>
      </c>
      <c r="J55" s="63" t="n">
        <f aca="false">J22/J11</f>
        <v>0.232488209478269</v>
      </c>
      <c r="K55" s="63" t="n">
        <f aca="false">K22/K11</f>
        <v>0.277907503699672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0.411597288576637</v>
      </c>
      <c r="C56" s="31" t="n">
        <f aca="false">(C22-C20)/C20</f>
        <v>0.501780103686827</v>
      </c>
      <c r="D56" s="31" t="n">
        <f aca="false">(D22-D20)/D20</f>
        <v>0.42397380635034</v>
      </c>
      <c r="E56" s="31" t="n">
        <f aca="false">(E22-E20)/E20</f>
        <v>0.347544922529141</v>
      </c>
      <c r="G56" s="33" t="s">
        <v>68</v>
      </c>
      <c r="H56" s="34" t="n">
        <f aca="false">H13/B16</f>
        <v>0.0388548728814815</v>
      </c>
      <c r="I56" s="34" t="n">
        <f aca="false">I13/C16</f>
        <v>0.0492467633715108</v>
      </c>
      <c r="J56" s="34" t="n">
        <f aca="false">J13/D16</f>
        <v>0.0476528156079356</v>
      </c>
      <c r="K56" s="34" t="n">
        <f aca="false">K13/E16</f>
        <v>0.0634070825911343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0.0873869893286541</v>
      </c>
      <c r="C57" s="30" t="n">
        <f aca="false">I11/C16</f>
        <v>0.115836432162385</v>
      </c>
      <c r="D57" s="30" t="n">
        <f aca="false">J11/D16</f>
        <v>0.121135999621776</v>
      </c>
      <c r="E57" s="30" t="n">
        <f aca="false">K11/E16</f>
        <v>0.161830083307822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1.41159728857664</v>
      </c>
      <c r="C58" s="30" t="n">
        <f aca="false">C16/C20</f>
        <v>1.50178010368683</v>
      </c>
      <c r="D58" s="30" t="n">
        <f aca="false">D16/D20</f>
        <v>1.42397380635034</v>
      </c>
      <c r="E58" s="30" t="n">
        <f aca="false">E16/E20</f>
        <v>1.34754492252914</v>
      </c>
      <c r="G58" s="36" t="s">
        <v>72</v>
      </c>
      <c r="H58" s="37" t="n">
        <f aca="false">H22/$B$7/1000</f>
        <v>0.332552777777778</v>
      </c>
      <c r="I58" s="37" t="n">
        <f aca="false">I22/$B$7/1000</f>
        <v>0.532125</v>
      </c>
      <c r="J58" s="37" t="n">
        <f aca="false">J22/$B$7/1000</f>
        <v>0.630983333333333</v>
      </c>
      <c r="K58" s="37" t="n">
        <f aca="false">K22/$B$7/1000</f>
        <v>0.915312037037037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16.5987712962963</v>
      </c>
      <c r="I59" s="37" t="n">
        <f aca="false">C20/$B$7/1000</f>
        <v>16.2662185185185</v>
      </c>
      <c r="J59" s="37" t="n">
        <f aca="false">D20/$B$7/1000</f>
        <v>15.7340935185185</v>
      </c>
      <c r="K59" s="37" t="n">
        <f aca="false">E20/$B$7/1000</f>
        <v>15.1031101851852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SQRT(10*H58*H59)</f>
        <v>7.42964837814104</v>
      </c>
      <c r="I60" s="38" t="n">
        <f aca="false">SQRT(10*I58*I59)</f>
        <v>9.30358077794064</v>
      </c>
      <c r="J60" s="38" t="n">
        <f aca="false">SQRT(10*J58*J59)</f>
        <v>9.96391026419508</v>
      </c>
      <c r="K60" s="38" t="n">
        <f aca="false">SQRT(10*K58*K59)</f>
        <v>11.7575756638844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-0.995348925925926</v>
      </c>
      <c r="I61" s="39" t="n">
        <f aca="false">I58-(C20*0.08/1000/$B$7)</f>
        <v>-0.769172481481482</v>
      </c>
      <c r="J61" s="39" t="n">
        <f aca="false">J58-(D20*0.08/1000/$B$7)</f>
        <v>-0.627744148148148</v>
      </c>
      <c r="K61" s="39" t="n">
        <f aca="false">K58-(E20*0.08/1000/$B$7)</f>
        <v>-0.292936777777778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0.956167119203916</v>
      </c>
      <c r="I64" s="6" t="n">
        <f aca="false">J51/I51</f>
        <v>0.92530054643413</v>
      </c>
      <c r="J64" s="6" t="n">
        <f aca="false">K51/J51</f>
        <v>0.996008798310556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0.723594759265198</v>
      </c>
      <c r="I65" s="6" t="n">
        <f aca="false">I11/J11</f>
        <v>1.04260827083265</v>
      </c>
      <c r="J65" s="6" t="n">
        <f aca="false">J11/K11</f>
        <v>0.824039547133148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0.466935956103357</v>
      </c>
      <c r="I66" s="6" t="n">
        <f aca="false">(O13/I11)/(P13/J11)</f>
        <v>-2.9360959843229</v>
      </c>
      <c r="J66" s="6" t="n">
        <f aca="false">(P13/J11)/(Q13/K11)</f>
        <v>-0.588138696102046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1.18867594856095</v>
      </c>
      <c r="I67" s="6" t="n">
        <f aca="false">I52/J52</f>
        <v>1.50800193714601</v>
      </c>
      <c r="J67" s="6" t="n">
        <f aca="false">J52/K52</f>
        <v>1.19089525523498</v>
      </c>
      <c r="M67" s="6"/>
    </row>
    <row r="68" customFormat="false" ht="15" hidden="false" customHeight="false" outlineLevel="0" collapsed="false">
      <c r="G68" s="2" t="s">
        <v>109</v>
      </c>
      <c r="H68" s="6" t="n">
        <f aca="false">H53/I53</f>
        <v>1.34529571609645</v>
      </c>
      <c r="I68" s="6" t="n">
        <f aca="false">I53/J53</f>
        <v>0.882612791786391</v>
      </c>
      <c r="J68" s="6" t="n">
        <f aca="false">J53/K53</f>
        <v>0.22963083625414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0.939949387471045</v>
      </c>
      <c r="I69" s="6" t="n">
        <f aca="false">C58/D58</f>
        <v>1.05464025882323</v>
      </c>
      <c r="J69" s="6" t="n">
        <f aca="false">D58/E58</f>
        <v>1.0567171324261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0.802163369420759</v>
      </c>
      <c r="I70" s="6" t="n">
        <f aca="false">((1-C11)/C16)/((1-D11)/D16)</f>
        <v>1.01960980271148</v>
      </c>
      <c r="J70" s="6" t="n">
        <f aca="false">((1-D11)/D16)/((1-E11)/E16)</f>
        <v>1.30393113857012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0.0112284636033726</v>
      </c>
      <c r="I71" s="6" t="n">
        <f aca="false">((I13-I16-I17)-O24)/C16</f>
        <v>0.0274965501813206</v>
      </c>
      <c r="J71" s="6" t="n">
        <f aca="false">((J13-J16-J17)-P24)/D16</f>
        <v>-0.00029151974275511</v>
      </c>
      <c r="K71" s="6" t="n">
        <f aca="false">((K13-K16-K17)-Q24)/E16</f>
        <v>0.0242750220436137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-3.24040876689408</v>
      </c>
      <c r="I72" s="6" t="n">
        <f aca="false">-4.84 + 0.92 *I66  + 0.528 *I64 + 0.404 *I70 + 0.892 *I65 + 0.115 *I68 - 0.172 *I67- 0.327 *I69 + 4.697 *I71</f>
        <v>-6.0843126097489</v>
      </c>
      <c r="J72" s="6" t="n">
        <f aca="false">-4.84 + 0.92 *J66  + 0.528 *J64 + 0.404 *J70 + 0.892 *J65 + 0.115 *J68 - 0.172 *J67- 0.327 *J69 + 4.697 *J71</f>
        <v>-4.11870570714706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Good</v>
      </c>
      <c r="J73" s="6" t="str">
        <f aca="false">IF(J72&gt;-2.22,"CARE","Good")</f>
        <v>Good</v>
      </c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2.89681872535712</v>
      </c>
      <c r="I74" s="6" t="n">
        <f aca="false">I59*$B$7/$B$5</f>
        <v>2.83878159136449</v>
      </c>
      <c r="J74" s="6" t="n">
        <f aca="false">J59*$B$7/$B$5</f>
        <v>2.74591509921789</v>
      </c>
      <c r="K74" s="6" t="n">
        <f aca="false">K59*$B$7/$B$5</f>
        <v>2.63579584383686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0.0630968280925797</v>
      </c>
      <c r="I77" s="28" t="n">
        <f aca="false">(I15-I16)/$B$6</f>
        <v>0.0895038313583204</v>
      </c>
      <c r="J77" s="28" t="n">
        <f aca="false">(J15-J16)/$B$6</f>
        <v>0.083130794596714</v>
      </c>
      <c r="K77" s="28" t="n">
        <f aca="false">(K15-K16)/$B$6</f>
        <v>0.106115204240298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:Q10"/>
    </sheetView>
  </sheetViews>
  <sheetFormatPr defaultRowHeight="15"/>
  <cols>
    <col collapsed="false" hidden="false" max="12" min="1" style="0" width="15.1351351351351"/>
    <col collapsed="false" hidden="false" max="13" min="13" style="0" width="23.4324324324324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72"/>
      <c r="M5" s="6"/>
    </row>
    <row r="6" customFormat="false" ht="15" hidden="false" customHeight="false" outlineLevel="0" collapsed="false">
      <c r="A6" s="2"/>
      <c r="M6" s="6"/>
    </row>
    <row r="7" customFormat="false" ht="15" hidden="false" customHeight="false" outlineLevel="0" collapsed="false">
      <c r="A7" s="2"/>
      <c r="B7" s="72" t="n">
        <v>164.816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3.8" hidden="false" customHeight="false" outlineLevel="0" collapsed="false">
      <c r="A10" s="20" t="s">
        <v>3</v>
      </c>
      <c r="B10" s="73" t="n">
        <v>42735</v>
      </c>
      <c r="C10" s="73" t="n">
        <v>42369</v>
      </c>
      <c r="D10" s="73" t="n">
        <v>42004</v>
      </c>
      <c r="E10" s="73" t="n">
        <v>41639</v>
      </c>
      <c r="G10" s="20" t="s">
        <v>4</v>
      </c>
      <c r="H10" s="73" t="n">
        <v>42735</v>
      </c>
      <c r="I10" s="73" t="n">
        <v>42369</v>
      </c>
      <c r="J10" s="73" t="n">
        <v>42004</v>
      </c>
      <c r="K10" s="73" t="n">
        <v>41639</v>
      </c>
      <c r="M10" s="20" t="s">
        <v>96</v>
      </c>
      <c r="N10" s="73" t="n">
        <v>42735</v>
      </c>
      <c r="O10" s="73" t="n">
        <v>42369</v>
      </c>
      <c r="P10" s="73" t="n">
        <v>42004</v>
      </c>
      <c r="Q10" s="73" t="n">
        <v>41639</v>
      </c>
    </row>
    <row r="11" customFormat="false" ht="15" hidden="false" customHeight="false" outlineLevel="0" collapsed="false">
      <c r="A11" s="23" t="s">
        <v>6</v>
      </c>
      <c r="B11" s="12" t="n">
        <v>344068</v>
      </c>
      <c r="C11" s="12" t="n">
        <v>378194</v>
      </c>
      <c r="D11" s="12" t="n">
        <v>463287</v>
      </c>
      <c r="E11" s="12" t="n">
        <v>472888</v>
      </c>
      <c r="G11" s="23" t="s">
        <v>7</v>
      </c>
      <c r="H11" s="12" t="n">
        <v>398666</v>
      </c>
      <c r="I11" s="12" t="n">
        <v>414893</v>
      </c>
      <c r="J11" s="12" t="n">
        <v>414701</v>
      </c>
      <c r="K11" s="12" t="n">
        <v>452719</v>
      </c>
      <c r="M11" s="23" t="s">
        <v>8</v>
      </c>
      <c r="N11" s="12" t="n">
        <v>188768</v>
      </c>
      <c r="O11" s="12" t="n">
        <v>171051</v>
      </c>
      <c r="P11" s="12" t="n">
        <v>150207</v>
      </c>
      <c r="Q11" s="12" t="n">
        <v>125776</v>
      </c>
    </row>
    <row r="12" customFormat="false" ht="15" hidden="false" customHeight="false" outlineLevel="0" collapsed="false">
      <c r="A12" s="23" t="s">
        <v>9</v>
      </c>
      <c r="B12" s="12" t="n">
        <v>1525</v>
      </c>
      <c r="C12" s="12" t="n">
        <v>1236</v>
      </c>
      <c r="D12" s="12" t="n">
        <v>1277</v>
      </c>
      <c r="E12" s="12" t="n">
        <v>1081</v>
      </c>
      <c r="G12" s="23" t="s">
        <v>10</v>
      </c>
      <c r="H12" s="12" t="n">
        <v>57295</v>
      </c>
      <c r="I12" s="12" t="n">
        <v>59570</v>
      </c>
      <c r="J12" s="12" t="n">
        <v>57508</v>
      </c>
      <c r="K12" s="12" t="n">
        <v>48539</v>
      </c>
      <c r="M12" s="23" t="s">
        <v>11</v>
      </c>
      <c r="N12" s="12" t="n">
        <v>502635</v>
      </c>
      <c r="O12" s="12" t="n">
        <v>431183</v>
      </c>
      <c r="P12" s="12" t="n">
        <v>383614</v>
      </c>
      <c r="Q12" s="12" t="n">
        <v>330310</v>
      </c>
    </row>
    <row r="13" customFormat="false" ht="15" hidden="false" customHeight="false" outlineLevel="0" collapsed="false">
      <c r="A13" s="23" t="s">
        <v>12</v>
      </c>
      <c r="B13" s="12" t="n">
        <v>4819399</v>
      </c>
      <c r="C13" s="12" t="n">
        <v>7116591</v>
      </c>
      <c r="D13" s="12" t="n">
        <v>4111119</v>
      </c>
      <c r="E13" s="12" t="n">
        <v>2732043</v>
      </c>
      <c r="G13" s="23" t="s">
        <v>13</v>
      </c>
      <c r="H13" s="12" t="n">
        <v>341371</v>
      </c>
      <c r="I13" s="12" t="n">
        <v>355323</v>
      </c>
      <c r="J13" s="12" t="n">
        <v>357193</v>
      </c>
      <c r="K13" s="12" t="n">
        <v>404180</v>
      </c>
      <c r="M13" s="23" t="s">
        <v>14</v>
      </c>
      <c r="N13" s="14" t="n">
        <v>-19448</v>
      </c>
      <c r="O13" s="14" t="n">
        <v>-14753</v>
      </c>
      <c r="P13" s="14" t="n">
        <v>-16197</v>
      </c>
      <c r="Q13" s="12" t="n">
        <v>21890</v>
      </c>
    </row>
    <row r="14" customFormat="false" ht="15" hidden="false" customHeight="false" outlineLevel="0" collapsed="false">
      <c r="A14" s="23" t="s">
        <v>15</v>
      </c>
      <c r="B14" s="12" t="n">
        <v>1590533</v>
      </c>
      <c r="C14" s="12" t="n">
        <v>1600686</v>
      </c>
      <c r="D14" s="12" t="n">
        <v>1603572</v>
      </c>
      <c r="E14" s="12" t="n">
        <v>1551697</v>
      </c>
      <c r="G14" s="23" t="s">
        <v>16</v>
      </c>
      <c r="H14" s="12" t="n">
        <v>656</v>
      </c>
      <c r="I14" s="12" t="n">
        <v>24</v>
      </c>
      <c r="J14" s="12" t="n">
        <v>2253</v>
      </c>
      <c r="K14" s="12" t="n">
        <v>4256</v>
      </c>
      <c r="M14" s="23" t="s">
        <v>9</v>
      </c>
      <c r="N14" s="12" t="n">
        <v>644</v>
      </c>
      <c r="O14" s="12" t="n">
        <v>473</v>
      </c>
      <c r="P14" s="14" t="n">
        <v>-525</v>
      </c>
      <c r="Q14" s="14" t="n">
        <v>-122</v>
      </c>
    </row>
    <row r="15" customFormat="false" ht="15" hidden="false" customHeight="false" outlineLevel="0" collapsed="false">
      <c r="A15" s="23" t="s">
        <v>17</v>
      </c>
      <c r="B15" s="45" t="n">
        <v>0</v>
      </c>
      <c r="C15" s="45" t="n">
        <v>0</v>
      </c>
      <c r="D15" s="45"/>
      <c r="E15" s="12" t="n">
        <v>70491</v>
      </c>
      <c r="G15" s="23" t="s">
        <v>18</v>
      </c>
      <c r="H15" s="12" t="n">
        <v>342027</v>
      </c>
      <c r="I15" s="12" t="n">
        <v>355347</v>
      </c>
      <c r="J15" s="12" t="n">
        <v>359446</v>
      </c>
      <c r="K15" s="12" t="n">
        <v>408436</v>
      </c>
      <c r="M15" s="23" t="s">
        <v>19</v>
      </c>
      <c r="N15" s="12" t="n">
        <v>16774</v>
      </c>
      <c r="O15" s="14" t="n">
        <v>-13907</v>
      </c>
      <c r="P15" s="12" t="n">
        <v>2210</v>
      </c>
      <c r="Q15" s="14" t="n">
        <v>-735</v>
      </c>
    </row>
    <row r="16" customFormat="false" ht="15" hidden="false" customHeight="false" outlineLevel="0" collapsed="false">
      <c r="A16" s="23" t="s">
        <v>20</v>
      </c>
      <c r="B16" s="12" t="n">
        <v>6755525</v>
      </c>
      <c r="C16" s="12" t="n">
        <v>9096707</v>
      </c>
      <c r="D16" s="12" t="n">
        <v>6179255</v>
      </c>
      <c r="E16" s="12" t="n">
        <v>4828200</v>
      </c>
      <c r="G16" s="23" t="s">
        <v>21</v>
      </c>
      <c r="H16" s="12" t="n">
        <v>16989</v>
      </c>
      <c r="I16" s="12" t="n">
        <v>13195</v>
      </c>
      <c r="J16" s="12" t="n">
        <v>18757</v>
      </c>
      <c r="K16" s="12" t="n">
        <v>13806</v>
      </c>
      <c r="M16" s="23" t="s">
        <v>22</v>
      </c>
      <c r="N16" s="12" t="n">
        <v>11990</v>
      </c>
      <c r="O16" s="14" t="n">
        <v>-21084</v>
      </c>
      <c r="P16" s="12" t="n">
        <v>4445</v>
      </c>
      <c r="Q16" s="14" t="n">
        <v>-39378</v>
      </c>
    </row>
    <row r="17" customFormat="false" ht="15" hidden="false" customHeight="false" outlineLevel="0" collapsed="false">
      <c r="A17" s="23" t="s">
        <v>23</v>
      </c>
      <c r="B17" s="12" t="n">
        <v>228770</v>
      </c>
      <c r="C17" s="12" t="n">
        <v>219817</v>
      </c>
      <c r="D17" s="12" t="n">
        <v>217735</v>
      </c>
      <c r="E17" s="12" t="n">
        <v>619375</v>
      </c>
      <c r="G17" s="23" t="s">
        <v>11</v>
      </c>
      <c r="H17" s="12" t="n">
        <v>308</v>
      </c>
      <c r="I17" s="12" t="n">
        <v>331</v>
      </c>
      <c r="J17" s="12" t="n">
        <v>366</v>
      </c>
      <c r="K17" s="12" t="n">
        <v>2427</v>
      </c>
      <c r="M17" s="23" t="s">
        <v>24</v>
      </c>
      <c r="N17" s="14" t="n">
        <v>-93937</v>
      </c>
      <c r="O17" s="14" t="n">
        <v>-104574</v>
      </c>
      <c r="P17" s="14" t="n">
        <v>-109836</v>
      </c>
      <c r="Q17" s="14" t="n">
        <v>-107838</v>
      </c>
    </row>
    <row r="18" customFormat="false" ht="15" hidden="false" customHeight="false" outlineLevel="0" collapsed="false">
      <c r="A18" s="23" t="s">
        <v>25</v>
      </c>
      <c r="B18" s="12" t="n">
        <v>8786</v>
      </c>
      <c r="C18" s="12" t="n">
        <v>8136</v>
      </c>
      <c r="D18" s="12" t="n">
        <v>7056</v>
      </c>
      <c r="E18" s="12" t="n">
        <v>6829</v>
      </c>
      <c r="G18" s="23" t="s">
        <v>26</v>
      </c>
      <c r="H18" s="12" t="n">
        <v>5035</v>
      </c>
      <c r="I18" s="12" t="n">
        <v>5035</v>
      </c>
      <c r="J18" s="12" t="n">
        <v>5035</v>
      </c>
      <c r="K18" s="12" t="n">
        <v>1843</v>
      </c>
      <c r="M18" s="23" t="s">
        <v>27</v>
      </c>
      <c r="N18" s="14" t="n">
        <v>-781908</v>
      </c>
      <c r="O18" s="14" t="n">
        <v>-764394</v>
      </c>
      <c r="P18" s="14" t="n">
        <v>-634883</v>
      </c>
      <c r="Q18" s="14" t="n">
        <v>-571347</v>
      </c>
    </row>
    <row r="19" customFormat="false" ht="15" hidden="false" customHeight="false" outlineLevel="0" collapsed="false">
      <c r="A19" s="23" t="s">
        <v>28</v>
      </c>
      <c r="B19" s="45" t="n">
        <v>0</v>
      </c>
      <c r="C19" s="45" t="n">
        <v>0</v>
      </c>
      <c r="D19" s="45"/>
      <c r="E19" s="45" t="n">
        <v>0</v>
      </c>
      <c r="G19" s="23" t="s">
        <v>29</v>
      </c>
      <c r="H19" s="12" t="n">
        <v>22332</v>
      </c>
      <c r="I19" s="12" t="n">
        <v>18561</v>
      </c>
      <c r="J19" s="12" t="n">
        <v>24158</v>
      </c>
      <c r="K19" s="12" t="n">
        <v>18076</v>
      </c>
      <c r="M19" s="23" t="s">
        <v>30</v>
      </c>
      <c r="N19" s="12" t="n">
        <v>275075</v>
      </c>
      <c r="O19" s="12" t="n">
        <v>252319</v>
      </c>
      <c r="P19" s="12" t="n">
        <v>191461</v>
      </c>
      <c r="Q19" s="12" t="n">
        <v>168283</v>
      </c>
    </row>
    <row r="20" customFormat="false" ht="15" hidden="false" customHeight="false" outlineLevel="0" collapsed="false">
      <c r="A20" s="23" t="s">
        <v>31</v>
      </c>
      <c r="B20" s="12" t="n">
        <v>6517969</v>
      </c>
      <c r="C20" s="12" t="n">
        <v>8868754</v>
      </c>
      <c r="D20" s="12" t="n">
        <v>5954464</v>
      </c>
      <c r="E20" s="12" t="n">
        <v>4201996</v>
      </c>
      <c r="G20" s="23" t="s">
        <v>32</v>
      </c>
      <c r="H20" s="12" t="n">
        <v>319695</v>
      </c>
      <c r="I20" s="12" t="n">
        <v>336786</v>
      </c>
      <c r="J20" s="12" t="n">
        <v>335288</v>
      </c>
      <c r="K20" s="12" t="n">
        <v>390360</v>
      </c>
      <c r="M20" s="23" t="s">
        <v>33</v>
      </c>
      <c r="N20" s="14" t="n">
        <v>-6509</v>
      </c>
      <c r="O20" s="12" t="n">
        <v>143477</v>
      </c>
      <c r="P20" s="12" t="n">
        <v>90429</v>
      </c>
      <c r="Q20" s="12" t="n">
        <v>109341</v>
      </c>
    </row>
    <row r="21" customFormat="false" ht="15" hidden="false" customHeight="false" outlineLevel="0" collapsed="false">
      <c r="A21" s="23" t="s">
        <v>34</v>
      </c>
      <c r="B21" s="17" t="n">
        <v>0</v>
      </c>
      <c r="C21" s="17" t="n">
        <v>0</v>
      </c>
      <c r="D21" s="45"/>
      <c r="E21" s="17"/>
      <c r="G21" s="23" t="s">
        <v>35</v>
      </c>
      <c r="H21" s="12" t="n">
        <v>9048</v>
      </c>
      <c r="I21" s="12" t="n">
        <v>9881</v>
      </c>
      <c r="J21" s="12" t="n">
        <v>11219</v>
      </c>
      <c r="K21" s="12" t="n">
        <v>11303</v>
      </c>
      <c r="M21" s="23" t="s">
        <v>36</v>
      </c>
      <c r="N21" s="14" t="n">
        <v>-91774</v>
      </c>
      <c r="O21" s="14" t="n">
        <v>-86759</v>
      </c>
      <c r="P21" s="14" t="n">
        <v>-51356</v>
      </c>
      <c r="Q21" s="14" t="n">
        <v>-45726</v>
      </c>
    </row>
    <row r="22" customFormat="false" ht="15" hidden="false" customHeight="false" outlineLevel="0" collapsed="false">
      <c r="A22" s="23" t="s">
        <v>37</v>
      </c>
      <c r="B22" s="12" t="n">
        <v>6755525</v>
      </c>
      <c r="C22" s="12" t="n">
        <v>9096707</v>
      </c>
      <c r="D22" s="12" t="n">
        <v>6179255</v>
      </c>
      <c r="E22" s="12" t="n">
        <v>4828200</v>
      </c>
      <c r="G22" s="23" t="s">
        <v>8</v>
      </c>
      <c r="H22" s="12" t="n">
        <v>310647</v>
      </c>
      <c r="I22" s="12" t="n">
        <v>326905</v>
      </c>
      <c r="J22" s="12" t="n">
        <v>324069</v>
      </c>
      <c r="K22" s="12" t="n">
        <v>379057</v>
      </c>
      <c r="M22" s="23" t="s">
        <v>38</v>
      </c>
      <c r="N22" s="12" t="n">
        <v>19768</v>
      </c>
      <c r="O22" s="12" t="n">
        <v>26736</v>
      </c>
      <c r="P22" s="12" t="n">
        <v>17167</v>
      </c>
      <c r="Q22" s="12" t="n">
        <v>26713</v>
      </c>
    </row>
    <row r="23" customFormat="false" ht="15" hidden="false" customHeight="false" outlineLevel="0" collapsed="false">
      <c r="G23" s="23" t="s">
        <v>39</v>
      </c>
      <c r="H23" s="12" t="n">
        <v>526080</v>
      </c>
      <c r="I23" s="12" t="n">
        <v>513416</v>
      </c>
      <c r="J23" s="12" t="n">
        <v>603587</v>
      </c>
      <c r="K23" s="12" t="n">
        <v>224530</v>
      </c>
      <c r="M23" s="23" t="s">
        <v>40</v>
      </c>
      <c r="N23" s="12" t="n">
        <v>22078</v>
      </c>
      <c r="O23" s="12" t="n">
        <v>19768</v>
      </c>
      <c r="P23" s="12" t="n">
        <v>26736</v>
      </c>
      <c r="Q23" s="12" t="n">
        <v>17167</v>
      </c>
    </row>
    <row r="24" customFormat="false" ht="15" hidden="false" customHeight="false" outlineLevel="0" collapsed="false">
      <c r="G24" s="23" t="s">
        <v>41</v>
      </c>
      <c r="H24" s="45" t="n">
        <v>0</v>
      </c>
      <c r="I24" s="45" t="n">
        <v>0</v>
      </c>
      <c r="J24" s="45"/>
      <c r="K24" s="45" t="n">
        <v>0</v>
      </c>
      <c r="M24" s="2" t="s">
        <v>42</v>
      </c>
      <c r="N24" s="12" t="n">
        <f aca="false">SUM(N11:N17)</f>
        <v>607426</v>
      </c>
      <c r="O24" s="12" t="n">
        <f aca="false">SUM(O11:O17)</f>
        <v>448389</v>
      </c>
      <c r="P24" s="12" t="n">
        <f aca="false">SUM(P11:P17)</f>
        <v>413918</v>
      </c>
      <c r="Q24" s="12" t="n">
        <f aca="false">SUM(Q11:Q17)</f>
        <v>329903</v>
      </c>
    </row>
    <row r="25" customFormat="false" ht="15" hidden="false" customHeight="false" outlineLevel="0" collapsed="false">
      <c r="G25" s="23" t="s">
        <v>43</v>
      </c>
      <c r="H25" s="12" t="n">
        <v>412040</v>
      </c>
      <c r="I25" s="12" t="n">
        <v>412040</v>
      </c>
      <c r="J25" s="12" t="n">
        <v>412040</v>
      </c>
      <c r="K25" s="12" t="n">
        <v>412040</v>
      </c>
      <c r="M25" s="2" t="s">
        <v>44</v>
      </c>
      <c r="N25" s="12" t="n">
        <f aca="false">N18+N19</f>
        <v>-506833</v>
      </c>
      <c r="O25" s="12" t="n">
        <f aca="false">O18+O19</f>
        <v>-512075</v>
      </c>
      <c r="P25" s="12" t="n">
        <f aca="false">P18+P19</f>
        <v>-443422</v>
      </c>
      <c r="Q25" s="12" t="n">
        <f aca="false">Q18+Q19</f>
        <v>-403064</v>
      </c>
    </row>
    <row r="26" customFormat="false" ht="15" hidden="false" customHeight="false" outlineLevel="0" collapsed="false">
      <c r="G26" s="23" t="s">
        <v>45</v>
      </c>
      <c r="H26" s="12" t="n">
        <v>2200</v>
      </c>
      <c r="I26" s="12" t="n">
        <v>2200</v>
      </c>
      <c r="J26" s="12" t="n">
        <v>2200</v>
      </c>
      <c r="K26" s="12" t="n">
        <v>2200</v>
      </c>
      <c r="M26" s="2" t="s">
        <v>46</v>
      </c>
      <c r="N26" s="12" t="n">
        <f aca="false">N20+N21</f>
        <v>-98283</v>
      </c>
      <c r="O26" s="12" t="n">
        <f aca="false">O20+O21</f>
        <v>56718</v>
      </c>
      <c r="P26" s="12" t="n">
        <f aca="false">P20+P21</f>
        <v>39073</v>
      </c>
      <c r="Q26" s="12" t="n">
        <f aca="false">Q20+Q21</f>
        <v>63615</v>
      </c>
    </row>
    <row r="27" customFormat="false" ht="15" hidden="false" customHeight="false" outlineLevel="0" collapsed="false">
      <c r="G27" s="23" t="s">
        <v>47</v>
      </c>
      <c r="H27" s="12" t="n">
        <v>422487</v>
      </c>
      <c r="I27" s="12" t="n">
        <v>426081</v>
      </c>
      <c r="J27" s="12" t="n">
        <v>513416</v>
      </c>
      <c r="K27" s="12" t="n">
        <v>189347</v>
      </c>
      <c r="M27" s="2" t="s">
        <v>48</v>
      </c>
      <c r="N27" s="12" t="n">
        <f aca="false">N24+N25+N26</f>
        <v>2310</v>
      </c>
      <c r="O27" s="12" t="n">
        <f aca="false">O24+O25+O26</f>
        <v>-6968</v>
      </c>
      <c r="P27" s="12" t="n">
        <f aca="false">P24+P25+P26</f>
        <v>9569</v>
      </c>
      <c r="Q27" s="12" t="n">
        <f aca="false">Q24+Q25+Q26</f>
        <v>-9546</v>
      </c>
    </row>
    <row r="28" customFormat="false" ht="15" hidden="false" customHeight="false" outlineLevel="0" collapsed="false">
      <c r="M28" s="2" t="s">
        <v>114</v>
      </c>
      <c r="N28" s="12" t="n">
        <f aca="false">N24+N18</f>
        <v>-174482</v>
      </c>
      <c r="O28" s="12" t="n">
        <f aca="false">O24+O18</f>
        <v>-316005</v>
      </c>
      <c r="P28" s="12" t="n">
        <f aca="false">P24+P18</f>
        <v>-220965</v>
      </c>
      <c r="Q28" s="12" t="n">
        <f aca="false">Q24+Q18</f>
        <v>-241444</v>
      </c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0.0509313487848835</v>
      </c>
      <c r="C30" s="24" t="n">
        <f aca="false">C11/C$16</f>
        <v>0.041574824823972</v>
      </c>
      <c r="D30" s="24" t="n">
        <f aca="false">D11/D$16</f>
        <v>0.0749745721773903</v>
      </c>
      <c r="E30" s="24" t="n">
        <f aca="false">E11/E$16</f>
        <v>0.0979429186860528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0.473499119563745</v>
      </c>
      <c r="O30" s="26" t="n">
        <f aca="false">O11/I$11</f>
        <v>0.412277382361235</v>
      </c>
      <c r="P30" s="26" t="n">
        <f aca="false">P11/J$11</f>
        <v>0.362205540859559</v>
      </c>
      <c r="Q30" s="26" t="n">
        <f aca="false">Q11/K$11</f>
        <v>0.277823550590985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0.000225741152612121</v>
      </c>
      <c r="C31" s="24" t="n">
        <f aca="false">C12/C$16</f>
        <v>0.000135873344057361</v>
      </c>
      <c r="D31" s="24" t="n">
        <f aca="false">D12/D$16</f>
        <v>0.00020665921700917</v>
      </c>
      <c r="E31" s="24" t="n">
        <f aca="false">E12/E$16</f>
        <v>0.000223892962180523</v>
      </c>
      <c r="F31" s="6"/>
      <c r="G31" s="25" t="s">
        <v>10</v>
      </c>
      <c r="H31" s="24" t="n">
        <f aca="false">H12/H$11</f>
        <v>0.143716795513036</v>
      </c>
      <c r="I31" s="24" t="n">
        <f aca="false">I12/I$11</f>
        <v>0.143579187886997</v>
      </c>
      <c r="J31" s="24" t="n">
        <f aca="false">J12/J$11</f>
        <v>0.138673405658535</v>
      </c>
      <c r="K31" s="24" t="n">
        <f aca="false">K12/K$11</f>
        <v>0.107216617813699</v>
      </c>
      <c r="L31" s="6"/>
      <c r="M31" s="25" t="s">
        <v>11</v>
      </c>
      <c r="N31" s="26" t="n">
        <f aca="false">N12/H$11</f>
        <v>1.2607922421275</v>
      </c>
      <c r="O31" s="26" t="n">
        <f aca="false">O12/I$11</f>
        <v>1.03926313531441</v>
      </c>
      <c r="P31" s="26" t="n">
        <f aca="false">P12/J$11</f>
        <v>0.925037557179751</v>
      </c>
      <c r="Q31" s="26" t="n">
        <f aca="false">Q12/K$11</f>
        <v>0.729613733905579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0.713401105021445</v>
      </c>
      <c r="C32" s="24" t="n">
        <f aca="false">C13/C$16</f>
        <v>0.782326065904948</v>
      </c>
      <c r="D32" s="24" t="n">
        <f aca="false">D13/D$16</f>
        <v>0.665309814856322</v>
      </c>
      <c r="E32" s="24" t="n">
        <f aca="false">E13/E$16</f>
        <v>0.565851248912638</v>
      </c>
      <c r="F32" s="6"/>
      <c r="G32" s="25" t="s">
        <v>13</v>
      </c>
      <c r="H32" s="24" t="n">
        <f aca="false">H13/H$11</f>
        <v>0.856283204486964</v>
      </c>
      <c r="I32" s="24" t="n">
        <f aca="false">I13/I$11</f>
        <v>0.856420812113003</v>
      </c>
      <c r="J32" s="24" t="n">
        <f aca="false">J13/J$11</f>
        <v>0.861326594341465</v>
      </c>
      <c r="K32" s="24" t="n">
        <f aca="false">K13/K$11</f>
        <v>0.892783382186301</v>
      </c>
      <c r="L32" s="6"/>
      <c r="M32" s="25" t="s">
        <v>14</v>
      </c>
      <c r="N32" s="26" t="n">
        <f aca="false">N13/H$11</f>
        <v>-0.0487826902720573</v>
      </c>
      <c r="O32" s="26" t="n">
        <f aca="false">O13/I$11</f>
        <v>-0.0355585657024823</v>
      </c>
      <c r="P32" s="26" t="n">
        <f aca="false">P13/J$11</f>
        <v>-0.039057055565335</v>
      </c>
      <c r="Q32" s="26" t="n">
        <f aca="false">Q13/K$11</f>
        <v>0.0483522891683362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0.235441805041059</v>
      </c>
      <c r="C33" s="24" t="n">
        <f aca="false">C14/C$16</f>
        <v>0.175963235927023</v>
      </c>
      <c r="D33" s="24" t="n">
        <f aca="false">D14/D$16</f>
        <v>0.259508953749279</v>
      </c>
      <c r="E33" s="24" t="n">
        <f aca="false">E14/E$16</f>
        <v>0.321382088563026</v>
      </c>
      <c r="F33" s="6"/>
      <c r="G33" s="25" t="s">
        <v>16</v>
      </c>
      <c r="H33" s="24" t="n">
        <f aca="false">H14/H$11</f>
        <v>0.00164548770148445</v>
      </c>
      <c r="I33" s="24" t="n">
        <f aca="false">I14/I$11</f>
        <v>5.78462398738952E-005</v>
      </c>
      <c r="J33" s="24" t="n">
        <f aca="false">J14/J$11</f>
        <v>0.00543282991842315</v>
      </c>
      <c r="K33" s="24" t="n">
        <f aca="false">K14/K$11</f>
        <v>0.0094009749977359</v>
      </c>
      <c r="L33" s="6"/>
      <c r="M33" s="25" t="s">
        <v>9</v>
      </c>
      <c r="N33" s="26" t="n">
        <f aca="false">N14/H$11</f>
        <v>0.0016153873167012</v>
      </c>
      <c r="O33" s="26" t="n">
        <f aca="false">O14/I$11</f>
        <v>0.00114005297751468</v>
      </c>
      <c r="P33" s="26" t="n">
        <f aca="false">P14/J$11</f>
        <v>-0.00126597235116385</v>
      </c>
      <c r="Q33" s="26" t="n">
        <f aca="false">Q14/K$11</f>
        <v>-0.000269482835931339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0.0145998508761029</v>
      </c>
      <c r="F34" s="6"/>
      <c r="G34" s="25" t="s">
        <v>18</v>
      </c>
      <c r="H34" s="24" t="n">
        <f aca="false">H15/H$11</f>
        <v>0.857928692188449</v>
      </c>
      <c r="I34" s="24" t="n">
        <f aca="false">I15/I$11</f>
        <v>0.856478658352876</v>
      </c>
      <c r="J34" s="24" t="n">
        <f aca="false">J15/J$11</f>
        <v>0.866759424259888</v>
      </c>
      <c r="K34" s="24" t="n">
        <f aca="false">K15/K$11</f>
        <v>0.902184357184037</v>
      </c>
      <c r="L34" s="6"/>
      <c r="M34" s="25" t="s">
        <v>19</v>
      </c>
      <c r="N34" s="26" t="n">
        <f aca="false">N15/H$11</f>
        <v>0.0420753211961893</v>
      </c>
      <c r="O34" s="26" t="n">
        <f aca="false">O15/I$11</f>
        <v>-0.0335194857469275</v>
      </c>
      <c r="P34" s="26" t="n">
        <f aca="false">P15/J$11</f>
        <v>0.00532914075442307</v>
      </c>
      <c r="Q34" s="26" t="n">
        <f aca="false">Q15/K$11</f>
        <v>-0.0016235236427011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0.0426146197568892</v>
      </c>
      <c r="I35" s="24" t="n">
        <f aca="false">I16/I$11</f>
        <v>0.0318033806306686</v>
      </c>
      <c r="J35" s="24" t="n">
        <f aca="false">J16/J$11</f>
        <v>0.0452301778872007</v>
      </c>
      <c r="K35" s="24" t="n">
        <f aca="false">K16/K$11</f>
        <v>0.0304957379743284</v>
      </c>
      <c r="L35" s="6"/>
      <c r="M35" s="25" t="s">
        <v>22</v>
      </c>
      <c r="N35" s="26" t="n">
        <f aca="false">N16/H$11</f>
        <v>0.0300753011292661</v>
      </c>
      <c r="O35" s="26" t="n">
        <f aca="false">O16/I$11</f>
        <v>-0.0508179217292169</v>
      </c>
      <c r="P35" s="26" t="n">
        <f aca="false">P16/J$11</f>
        <v>0.0107185659065206</v>
      </c>
      <c r="Q35" s="26" t="n">
        <f aca="false">Q16/K$11</f>
        <v>-0.0869811074861006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0.0338641334315246</v>
      </c>
      <c r="C36" s="24" t="n">
        <f aca="false">C17/C$16</f>
        <v>0.0241644586332175</v>
      </c>
      <c r="D36" s="24" t="n">
        <f aca="false">D17/D$16</f>
        <v>0.0352364484068063</v>
      </c>
      <c r="E36" s="24" t="n">
        <f aca="false">E17/E$16</f>
        <v>0.128282796901537</v>
      </c>
      <c r="F36" s="6"/>
      <c r="G36" s="25" t="s">
        <v>11</v>
      </c>
      <c r="H36" s="24" t="n">
        <f aca="false">H17/H$11</f>
        <v>0.000772576542770138</v>
      </c>
      <c r="I36" s="24" t="n">
        <f aca="false">I17/I$11</f>
        <v>0.000797796058260805</v>
      </c>
      <c r="J36" s="24" t="n">
        <f aca="false">J17/J$11</f>
        <v>0.000882563581954227</v>
      </c>
      <c r="K36" s="24" t="n">
        <f aca="false">K17/K$11</f>
        <v>0.00536094133447017</v>
      </c>
      <c r="L36" s="6"/>
      <c r="M36" s="25" t="s">
        <v>24</v>
      </c>
      <c r="N36" s="26" t="n">
        <f aca="false">N17/H$11</f>
        <v>-0.235628320448696</v>
      </c>
      <c r="O36" s="26" t="n">
        <f aca="false">O17/I$11</f>
        <v>-0.25205052869053</v>
      </c>
      <c r="P36" s="26" t="n">
        <f aca="false">P17/J$11</f>
        <v>-0.264855884118919</v>
      </c>
      <c r="Q36" s="26" t="n">
        <f aca="false">Q17/K$11</f>
        <v>-0.23820073820626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0.00130056509301646</v>
      </c>
      <c r="C37" s="24" t="n">
        <f aca="false">C18/C$16</f>
        <v>0.000894389585154276</v>
      </c>
      <c r="D37" s="24" t="n">
        <f aca="false">D18/D$16</f>
        <v>0.00114188522726445</v>
      </c>
      <c r="E37" s="24" t="n">
        <f aca="false">E18/E$16</f>
        <v>0.00141439874073154</v>
      </c>
      <c r="F37" s="6"/>
      <c r="G37" s="25" t="s">
        <v>26</v>
      </c>
      <c r="H37" s="24" t="n">
        <f aca="false">H18/H$11</f>
        <v>0.0126296197819729</v>
      </c>
      <c r="I37" s="24" t="n">
        <f aca="false">I18/I$11</f>
        <v>0.0121356590735443</v>
      </c>
      <c r="J37" s="24" t="n">
        <f aca="false">J18/J$11</f>
        <v>0.0121412776916381</v>
      </c>
      <c r="K37" s="24" t="n">
        <f aca="false">K18/K$11</f>
        <v>0.00407095792312671</v>
      </c>
      <c r="L37" s="6"/>
      <c r="M37" s="25" t="s">
        <v>27</v>
      </c>
      <c r="N37" s="26" t="n">
        <f aca="false">N18/H$11</f>
        <v>-1.96131097209193</v>
      </c>
      <c r="O37" s="26" t="n">
        <f aca="false">O18/I$11</f>
        <v>-1.84238827842359</v>
      </c>
      <c r="P37" s="26" t="n">
        <f aca="false">P18/J$11</f>
        <v>-1.5309415699504</v>
      </c>
      <c r="Q37" s="26" t="n">
        <f aca="false">Q18/K$11</f>
        <v>-1.26203450705625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0.0560168160816323</v>
      </c>
      <c r="I38" s="24" t="n">
        <f aca="false">I19/I$11</f>
        <v>0.0447368357624737</v>
      </c>
      <c r="J38" s="24" t="n">
        <f aca="false">J19/J$11</f>
        <v>0.058254019160793</v>
      </c>
      <c r="K38" s="24" t="n">
        <f aca="false">K19/K$11</f>
        <v>0.0399276372319253</v>
      </c>
      <c r="L38" s="6"/>
      <c r="M38" s="25" t="s">
        <v>30</v>
      </c>
      <c r="N38" s="26" t="n">
        <f aca="false">N19/H$11</f>
        <v>0.68998861202109</v>
      </c>
      <c r="O38" s="26" t="n">
        <f aca="false">O19/I$11</f>
        <v>0.608154391614223</v>
      </c>
      <c r="P38" s="26" t="n">
        <f aca="false">P19/J$11</f>
        <v>0.461684442526061</v>
      </c>
      <c r="Q38" s="26" t="n">
        <f aca="false">Q19/K$11</f>
        <v>0.371716230156013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0.964835301475459</v>
      </c>
      <c r="C39" s="24" t="n">
        <f aca="false">C20/C$16</f>
        <v>0.974941151781628</v>
      </c>
      <c r="D39" s="24" t="n">
        <f aca="false">D20/D$16</f>
        <v>0.963621666365929</v>
      </c>
      <c r="E39" s="24" t="n">
        <f aca="false">E20/E$16</f>
        <v>0.870302804357732</v>
      </c>
      <c r="F39" s="6"/>
      <c r="G39" s="25" t="s">
        <v>32</v>
      </c>
      <c r="H39" s="24" t="n">
        <f aca="false">H20/H$11</f>
        <v>0.801911876106816</v>
      </c>
      <c r="I39" s="24" t="n">
        <f aca="false">I20/I$11</f>
        <v>0.811741822590403</v>
      </c>
      <c r="J39" s="24" t="n">
        <f aca="false">J20/J$11</f>
        <v>0.808505405099096</v>
      </c>
      <c r="K39" s="24" t="n">
        <f aca="false">K20/K$11</f>
        <v>0.862256719952112</v>
      </c>
      <c r="L39" s="6"/>
      <c r="M39" s="25" t="s">
        <v>33</v>
      </c>
      <c r="N39" s="26" t="n">
        <f aca="false">N20/H$11</f>
        <v>-0.0163269503795157</v>
      </c>
      <c r="O39" s="26" t="n">
        <f aca="false">O20/I$11</f>
        <v>0.345816873266119</v>
      </c>
      <c r="P39" s="26" t="n">
        <f aca="false">P20/J$11</f>
        <v>0.218058311892183</v>
      </c>
      <c r="Q39" s="26" t="n">
        <f aca="false">Q20/K$11</f>
        <v>0.241520678389906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0.0226956901265721</v>
      </c>
      <c r="I40" s="24" t="n">
        <f aca="false">I21/I$11</f>
        <v>0.0238157790080816</v>
      </c>
      <c r="J40" s="24" t="n">
        <f aca="false">J21/J$11</f>
        <v>0.0270532263003947</v>
      </c>
      <c r="K40" s="24" t="n">
        <f aca="false">K21/K$11</f>
        <v>0.0249669220863273</v>
      </c>
      <c r="L40" s="6"/>
      <c r="M40" s="25" t="s">
        <v>36</v>
      </c>
      <c r="N40" s="26" t="n">
        <f aca="false">N21/H$11</f>
        <v>-0.230202726091515</v>
      </c>
      <c r="O40" s="26" t="n">
        <f aca="false">O21/I$11</f>
        <v>-0.209111746884136</v>
      </c>
      <c r="P40" s="26" t="n">
        <f aca="false">P21/J$11</f>
        <v>-0.123838621078801</v>
      </c>
      <c r="Q40" s="26" t="n">
        <f aca="false">Q21/K$11</f>
        <v>-0.101003050457348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0.779216185980244</v>
      </c>
      <c r="I41" s="24" t="n">
        <f aca="false">I22/I$11</f>
        <v>0.787926043582321</v>
      </c>
      <c r="J41" s="24" t="n">
        <f aca="false">J22/J$11</f>
        <v>0.781452178798701</v>
      </c>
      <c r="K41" s="24" t="n">
        <f aca="false">K22/K$11</f>
        <v>0.837289797865784</v>
      </c>
      <c r="L41" s="6"/>
      <c r="M41" s="25" t="s">
        <v>38</v>
      </c>
      <c r="N41" s="26" t="n">
        <f aca="false">N22/H$11</f>
        <v>0.0495853671996107</v>
      </c>
      <c r="O41" s="26" t="n">
        <f aca="false">O22/I$11</f>
        <v>0.0644407112195192</v>
      </c>
      <c r="P41" s="26" t="n">
        <f aca="false">P22/J$11</f>
        <v>0.0413960901951044</v>
      </c>
      <c r="Q41" s="26" t="n">
        <f aca="false">Q22/K$11</f>
        <v>0.0590056966904415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1.31960086889777</v>
      </c>
      <c r="I42" s="24" t="n">
        <f aca="false">I23/I$11</f>
        <v>1.23746604546232</v>
      </c>
      <c r="J42" s="24" t="n">
        <f aca="false">J23/J$11</f>
        <v>1.45547514956559</v>
      </c>
      <c r="K42" s="24" t="n">
        <f aca="false">K23/K$11</f>
        <v>0.495958861898882</v>
      </c>
      <c r="L42" s="6"/>
      <c r="M42" s="25" t="s">
        <v>40</v>
      </c>
      <c r="N42" s="26" t="n">
        <f aca="false">N23/H$11</f>
        <v>0.0553796912703867</v>
      </c>
      <c r="O42" s="26" t="n">
        <f aca="false">O23/I$11</f>
        <v>0.0476460195761317</v>
      </c>
      <c r="P42" s="26" t="n">
        <f aca="false">P23/J$11</f>
        <v>0.0644705462489842</v>
      </c>
      <c r="Q42" s="26" t="n">
        <f aca="false">Q23/K$11</f>
        <v>0.0379197692166664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1.52364636061264</v>
      </c>
      <c r="O43" s="26" t="n">
        <f aca="false">O24/I11</f>
        <v>1.080734068784</v>
      </c>
      <c r="P43" s="26" t="n">
        <f aca="false">P24/J11</f>
        <v>0.998111892664836</v>
      </c>
      <c r="Q43" s="26" t="n">
        <f aca="false">Q24/K11</f>
        <v>0.728714721493907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1.03354687884093</v>
      </c>
      <c r="I44" s="24" t="n">
        <f aca="false">I25/I$11</f>
        <v>0.993123528234991</v>
      </c>
      <c r="J44" s="24" t="n">
        <f aca="false">J25/J$11</f>
        <v>0.99358332871153</v>
      </c>
      <c r="K44" s="24" t="n">
        <f aca="false">K25/K$11</f>
        <v>0.910145145222533</v>
      </c>
      <c r="L44" s="6"/>
      <c r="M44" s="2" t="s">
        <v>50</v>
      </c>
      <c r="N44" s="26" t="n">
        <f aca="false">N24/B16</f>
        <v>0.0899154395846363</v>
      </c>
      <c r="O44" s="26" t="n">
        <f aca="false">O24/C16</f>
        <v>0.049291353453508</v>
      </c>
      <c r="P44" s="26" t="n">
        <f aca="false">P24/D16</f>
        <v>0.0669850977180906</v>
      </c>
      <c r="Q44" s="26" t="n">
        <f aca="false">Q24/E16</f>
        <v>0.0683283625367632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0.00551840387692956</v>
      </c>
      <c r="I45" s="24" t="n">
        <f aca="false">I26/I$11</f>
        <v>0.00530257198844039</v>
      </c>
      <c r="J45" s="24" t="n">
        <f aca="false">J26/J$11</f>
        <v>0.00530502699535328</v>
      </c>
      <c r="K45" s="24" t="n">
        <f aca="false">K26/K$11</f>
        <v>0.00485952654958153</v>
      </c>
      <c r="L45" s="6"/>
      <c r="M45" s="2" t="s">
        <v>51</v>
      </c>
      <c r="N45" s="26" t="n">
        <f aca="false">N24/B20</f>
        <v>0.0931925266904461</v>
      </c>
      <c r="O45" s="26" t="n">
        <f aca="false">O24/C20</f>
        <v>0.0505582858651847</v>
      </c>
      <c r="P45" s="26" t="n">
        <f aca="false">P24/D20</f>
        <v>0.0695138974725517</v>
      </c>
      <c r="Q45" s="26" t="n">
        <f aca="false">Q24/E20</f>
        <v>0.0785110219048281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1.05975177216015</v>
      </c>
      <c r="I46" s="24" t="n">
        <f aca="false">I27/I$11</f>
        <v>1.02696598882121</v>
      </c>
      <c r="J46" s="24" t="n">
        <f aca="false">J27/J$11</f>
        <v>1.23803897265741</v>
      </c>
      <c r="K46" s="24" t="n">
        <f aca="false">K27/K$11</f>
        <v>0.418243987992552</v>
      </c>
      <c r="L46" s="6"/>
      <c r="M46" s="2" t="s">
        <v>52</v>
      </c>
      <c r="N46" s="26" t="n">
        <f aca="false">N24/H22</f>
        <v>1.95535768895241</v>
      </c>
      <c r="O46" s="26" t="n">
        <f aca="false">O24/I22</f>
        <v>1.3716186659733</v>
      </c>
      <c r="P46" s="26" t="n">
        <f aca="false">P24/J22</f>
        <v>1.27725268384202</v>
      </c>
      <c r="Q46" s="26" t="n">
        <f aca="false">Q24/K22</f>
        <v>0.870325571088253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2.55698024886764</v>
      </c>
      <c r="O47" s="26" t="n">
        <f aca="false">O24/(C22-C20)</f>
        <v>1.9670239040504</v>
      </c>
      <c r="P47" s="26" t="n">
        <f aca="false">P24/(D22-D20)</f>
        <v>1.84134596135966</v>
      </c>
      <c r="Q47" s="26" t="n">
        <f aca="false">Q24/(E22-E20)</f>
        <v>0.526829914852029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1.47419182603631</v>
      </c>
      <c r="O48" s="26" t="n">
        <f aca="false">O24/I25</f>
        <v>1.0882171633822</v>
      </c>
      <c r="P48" s="26" t="n">
        <f aca="false">P24/J25</f>
        <v>1.00455780992137</v>
      </c>
      <c r="Q48" s="26" t="n">
        <f aca="false">Q24/K25</f>
        <v>0.800657703135618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0.776850985026371</v>
      </c>
      <c r="O49" s="26" t="n">
        <f aca="false">O24/(O18*-1)</f>
        <v>0.586594086295811</v>
      </c>
      <c r="P49" s="26" t="n">
        <f aca="false">P24/(P18*-1)</f>
        <v>0.65195949489906</v>
      </c>
      <c r="Q49" s="26" t="n">
        <f aca="false">Q24/(Q18*-1)</f>
        <v>0.57741267565945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-0.0400573725538493</v>
      </c>
      <c r="I50" s="28" t="n">
        <f aca="false">LN(I13/J13)</f>
        <v>-0.00524901698641422</v>
      </c>
      <c r="J50" s="28" t="n">
        <f aca="false">LN(J13/K13)</f>
        <v>-0.123584071344281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1.50399090789876</v>
      </c>
      <c r="C51" s="30" t="n">
        <f aca="false">C11/C17</f>
        <v>1.72049477519937</v>
      </c>
      <c r="D51" s="30" t="n">
        <f aca="false">D11/D17</f>
        <v>2.12775621742026</v>
      </c>
      <c r="E51" s="30" t="n">
        <f aca="false">E11/E17</f>
        <v>0.763492230070636</v>
      </c>
      <c r="G51" s="29" t="s">
        <v>58</v>
      </c>
      <c r="H51" s="31" t="n">
        <f aca="false">H13/H11</f>
        <v>0.856283204486964</v>
      </c>
      <c r="I51" s="31" t="n">
        <f aca="false">I13/I11</f>
        <v>0.856420812113003</v>
      </c>
      <c r="J51" s="31" t="n">
        <f aca="false">J13/J11</f>
        <v>0.861326594341465</v>
      </c>
      <c r="K51" s="31" t="n">
        <f aca="false">K13/K11</f>
        <v>0.892783382186301</v>
      </c>
      <c r="M51" s="2" t="s">
        <v>59</v>
      </c>
      <c r="N51" s="32" t="n">
        <f aca="false">(N11-N24-N25)/B16</f>
        <v>0.0130522794305402</v>
      </c>
      <c r="O51" s="32" t="n">
        <f aca="false">(O11-O24-O25)/C16</f>
        <v>0.0258046125922271</v>
      </c>
      <c r="P51" s="32" t="n">
        <f aca="false">(P11-P24-P25)/D16</f>
        <v>0.0290829557932146</v>
      </c>
      <c r="Q51" s="32" t="n">
        <f aca="false">(Q11-Q24-Q25)/E16</f>
        <v>0.0412031398865001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0.0473234870716932</v>
      </c>
      <c r="C52" s="31" t="n">
        <f aca="false">I20/C16</f>
        <v>0.0370228479382704</v>
      </c>
      <c r="D52" s="31" t="n">
        <f aca="false">J20/D16</f>
        <v>0.0542602627663044</v>
      </c>
      <c r="E52" s="31" t="n">
        <f aca="false">K20/E16</f>
        <v>0.0808500062134957</v>
      </c>
      <c r="F52" s="31"/>
      <c r="G52" s="29" t="s">
        <v>61</v>
      </c>
      <c r="H52" s="31" t="n">
        <f aca="false">H16/H11</f>
        <v>0.0426146197568892</v>
      </c>
      <c r="I52" s="31" t="n">
        <f aca="false">I16/I11</f>
        <v>0.0318033806306686</v>
      </c>
      <c r="J52" s="31" t="n">
        <f aca="false">J16/J11</f>
        <v>0.0452301778872007</v>
      </c>
      <c r="K52" s="31" t="n">
        <f aca="false">K16/K11</f>
        <v>0.0304957379743284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0.0490482541417426</v>
      </c>
      <c r="C53" s="31" t="n">
        <f aca="false">I20/C20</f>
        <v>0.0379744437606455</v>
      </c>
      <c r="D53" s="31" t="n">
        <f aca="false">J20/D20</f>
        <v>0.0563086786652837</v>
      </c>
      <c r="E53" s="31" t="n">
        <f aca="false">K20/E20</f>
        <v>0.0928987081377517</v>
      </c>
      <c r="G53" s="29" t="s">
        <v>11</v>
      </c>
      <c r="H53" s="31" t="n">
        <f aca="false">H17/H11</f>
        <v>0.000772576542770138</v>
      </c>
      <c r="I53" s="31" t="n">
        <f aca="false">I17/I11</f>
        <v>0.000797796058260805</v>
      </c>
      <c r="J53" s="31" t="n">
        <f aca="false">J17/J11</f>
        <v>0.000882563581954227</v>
      </c>
      <c r="K53" s="31" t="n">
        <f aca="false">K17/K11</f>
        <v>0.00536094133447017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261.420327868852</v>
      </c>
      <c r="C54" s="30" t="n">
        <f aca="false">I11/C12</f>
        <v>335.673948220065</v>
      </c>
      <c r="D54" s="30" t="n">
        <f aca="false">J11/D12</f>
        <v>324.746280344558</v>
      </c>
      <c r="E54" s="30" t="n">
        <f aca="false">K11/E12</f>
        <v>418.796484736355</v>
      </c>
      <c r="G54" s="29" t="s">
        <v>64</v>
      </c>
      <c r="H54" s="31" t="n">
        <f aca="false">H25/H22</f>
        <v>1.3263929798131</v>
      </c>
      <c r="I54" s="31" t="n">
        <f aca="false">I25/I22</f>
        <v>1.26042734127652</v>
      </c>
      <c r="J54" s="31" t="n">
        <f aca="false">J25/J22</f>
        <v>1.27145762167933</v>
      </c>
      <c r="K54" s="31" t="n">
        <f aca="false">K25/K22</f>
        <v>1.08701329879147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0.035164698524541</v>
      </c>
      <c r="C55" s="31" t="n">
        <f aca="false">(C22-C20)/C16</f>
        <v>0.0250588482183718</v>
      </c>
      <c r="D55" s="31" t="n">
        <f aca="false">(D22-D20)/D16</f>
        <v>0.0363783336340708</v>
      </c>
      <c r="E55" s="31" t="n">
        <f aca="false">(E22-E20)/E16</f>
        <v>0.129697195642268</v>
      </c>
      <c r="G55" s="29" t="s">
        <v>66</v>
      </c>
      <c r="H55" s="31" t="n">
        <f aca="false">H22/H11</f>
        <v>0.779216185980244</v>
      </c>
      <c r="I55" s="31" t="n">
        <f aca="false">I22/I11</f>
        <v>0.787926043582321</v>
      </c>
      <c r="J55" s="31" t="n">
        <f aca="false">J22/J11</f>
        <v>0.781452178798701</v>
      </c>
      <c r="K55" s="31" t="n">
        <f aca="false">K22/K11</f>
        <v>0.837289797865784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0.0364463224664002</v>
      </c>
      <c r="C56" s="31" t="n">
        <f aca="false">(C22-C20)/C20</f>
        <v>0.0257029341438493</v>
      </c>
      <c r="D56" s="31" t="n">
        <f aca="false">(D22-D20)/D20</f>
        <v>0.0377516767252267</v>
      </c>
      <c r="E56" s="31" t="n">
        <f aca="false">(E22-E20)/E20</f>
        <v>0.149025367944187</v>
      </c>
      <c r="G56" s="33" t="s">
        <v>68</v>
      </c>
      <c r="H56" s="34" t="n">
        <f aca="false">H13/B16</f>
        <v>0.050532120005477</v>
      </c>
      <c r="I56" s="34" t="n">
        <f aca="false">I13/C16</f>
        <v>0.0390606183094608</v>
      </c>
      <c r="J56" s="34" t="n">
        <f aca="false">J13/D16</f>
        <v>0.0578051884895509</v>
      </c>
      <c r="K56" s="34" t="n">
        <f aca="false">K13/E16</f>
        <v>0.0837123565718073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0.0590133261293534</v>
      </c>
      <c r="C57" s="30" t="n">
        <f aca="false">I11/C16</f>
        <v>0.0456091418575975</v>
      </c>
      <c r="D57" s="30" t="n">
        <f aca="false">J11/D16</f>
        <v>0.0671118120226467</v>
      </c>
      <c r="E57" s="30" t="n">
        <f aca="false">K11/E16</f>
        <v>0.0937655855184127</v>
      </c>
      <c r="G57" s="33" t="s">
        <v>70</v>
      </c>
      <c r="H57" s="35" t="e">
        <f aca="false">H25/$B$5</f>
        <v>#DIV/0!</v>
      </c>
      <c r="I57" s="35" t="e">
        <f aca="false">I25/$B$5</f>
        <v>#DIV/0!</v>
      </c>
      <c r="J57" s="35" t="e">
        <f aca="false">J25/$B$5</f>
        <v>#DIV/0!</v>
      </c>
      <c r="K57" s="35" t="e">
        <f aca="false">K25/$B$5</f>
        <v>#DIV/0!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1.0364463224664</v>
      </c>
      <c r="C58" s="30" t="n">
        <f aca="false">C16/C20</f>
        <v>1.02570293414385</v>
      </c>
      <c r="D58" s="30" t="n">
        <f aca="false">D16/D20</f>
        <v>1.03775167672523</v>
      </c>
      <c r="E58" s="30" t="n">
        <f aca="false">E16/E20</f>
        <v>1.14902536794419</v>
      </c>
      <c r="G58" s="36" t="s">
        <v>72</v>
      </c>
      <c r="H58" s="37" t="n">
        <f aca="false">H22/$B$7/1000</f>
        <v>1.88481094068537</v>
      </c>
      <c r="I58" s="37" t="n">
        <f aca="false">I22/$B$7/1000</f>
        <v>1.98345427628386</v>
      </c>
      <c r="J58" s="37" t="n">
        <f aca="false">J22/$B$7/1000</f>
        <v>1.96624720900883</v>
      </c>
      <c r="K58" s="37" t="n">
        <f aca="false">K22/$B$7/1000</f>
        <v>2.29987986603242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39.5469432579361</v>
      </c>
      <c r="I59" s="37" t="n">
        <f aca="false">C20/$B$7/1000</f>
        <v>53.8100305795554</v>
      </c>
      <c r="J59" s="37" t="n">
        <f aca="false">D20/$B$7/1000</f>
        <v>36.1279487428405</v>
      </c>
      <c r="K59" s="37" t="n">
        <f aca="false">E20/$B$7/1000</f>
        <v>25.495073293855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SQRT(10*H58*H59)</f>
        <v>27.3017419450154</v>
      </c>
      <c r="I60" s="38" t="n">
        <f aca="false">SQRT(10*I58*I59)</f>
        <v>32.6695171773297</v>
      </c>
      <c r="J60" s="38" t="n">
        <f aca="false">SQRT(10*J58*J59)</f>
        <v>26.6526693565249</v>
      </c>
      <c r="K60" s="38" t="n">
        <f aca="false">SQRT(10*K58*K59)</f>
        <v>24.214790057227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-1.27894451994952</v>
      </c>
      <c r="I61" s="39" t="n">
        <f aca="false">I58-(C20*0.08/1000/$B$7)</f>
        <v>-2.32134817008057</v>
      </c>
      <c r="J61" s="39" t="n">
        <f aca="false">J58-(D20*0.08/1000/$B$7)</f>
        <v>-0.923988690418406</v>
      </c>
      <c r="K61" s="39" t="n">
        <f aca="false">K58-(E20*0.08/1000/$B$7)</f>
        <v>0.260274002524027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2.5</v>
      </c>
      <c r="I62" s="41" t="n">
        <f aca="false">I25/$B$7/1000</f>
        <v>2.5</v>
      </c>
      <c r="J62" s="41" t="n">
        <f aca="false">J25/$B$7/1000</f>
        <v>2.5</v>
      </c>
      <c r="K62" s="41" t="n">
        <f aca="false">K25/$B$7/1000</f>
        <v>2.5</v>
      </c>
      <c r="M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3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1" sqref="N10:Q10 H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IFERROR(__xludf.dummyfunction("GOOGLEFINANCE(""TADAWUL:4190"")"),"145")</f>
        <v>145</v>
      </c>
      <c r="G4" s="6"/>
      <c r="M4" s="6"/>
    </row>
    <row r="5" customFormat="false" ht="15" hidden="false" customHeight="false" outlineLevel="0" collapsed="false">
      <c r="A5" s="2" t="s">
        <v>0</v>
      </c>
      <c r="B5" s="3" t="n">
        <f aca="false">A4*B7</f>
        <v>13050000</v>
      </c>
      <c r="C5" s="6" t="n">
        <f aca="false">H11/1000/B7</f>
        <v>0.0708375333333333</v>
      </c>
      <c r="D5" s="6" t="n">
        <f aca="false">100/C5</f>
        <v>1411.68100150297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B5*1000+(12730)-N23</f>
        <v>13049903108</v>
      </c>
      <c r="C6" s="28" t="n">
        <f aca="false">H20/B6</f>
        <v>6.52841628745678E-005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90000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426209</v>
      </c>
      <c r="C11" s="56" t="n">
        <v>563697</v>
      </c>
      <c r="D11" s="56" t="n">
        <v>402011</v>
      </c>
      <c r="E11" s="56" t="n">
        <v>406701</v>
      </c>
      <c r="G11" s="25" t="s">
        <v>7</v>
      </c>
      <c r="H11" s="56" t="n">
        <v>6375378</v>
      </c>
      <c r="I11" s="56" t="n">
        <v>5698723</v>
      </c>
      <c r="J11" s="56" t="n">
        <v>5242666</v>
      </c>
      <c r="K11" s="56" t="n">
        <v>4634216</v>
      </c>
      <c r="M11" s="25" t="s">
        <v>8</v>
      </c>
      <c r="N11" s="56" t="n">
        <v>828471</v>
      </c>
      <c r="O11" s="56" t="n">
        <v>745364</v>
      </c>
      <c r="P11" s="56" t="n">
        <v>674454</v>
      </c>
      <c r="Q11" s="56" t="n">
        <v>588214</v>
      </c>
    </row>
    <row r="12" customFormat="false" ht="15" hidden="false" customHeight="false" outlineLevel="0" collapsed="false">
      <c r="A12" s="25" t="s">
        <v>9</v>
      </c>
      <c r="B12" s="56" t="n">
        <v>792591</v>
      </c>
      <c r="C12" s="56" t="n">
        <v>817120</v>
      </c>
      <c r="D12" s="56" t="n">
        <v>771490</v>
      </c>
      <c r="E12" s="56" t="n">
        <v>725918</v>
      </c>
      <c r="G12" s="25" t="s">
        <v>10</v>
      </c>
      <c r="H12" s="56" t="n">
        <v>5403347</v>
      </c>
      <c r="I12" s="58" t="n">
        <v>4812246</v>
      </c>
      <c r="J12" s="56" t="n">
        <v>4448310</v>
      </c>
      <c r="K12" s="56" t="n">
        <v>3940110</v>
      </c>
      <c r="M12" s="25" t="s">
        <v>11</v>
      </c>
      <c r="N12" s="56" t="n">
        <v>32520</v>
      </c>
      <c r="O12" s="56" t="n">
        <v>30901</v>
      </c>
      <c r="P12" s="56" t="n">
        <v>20953</v>
      </c>
      <c r="Q12" s="56" t="n">
        <v>21618</v>
      </c>
    </row>
    <row r="13" customFormat="false" ht="15" hidden="false" customHeight="false" outlineLevel="0" collapsed="false">
      <c r="A13" s="25" t="s">
        <v>12</v>
      </c>
      <c r="B13" s="56" t="n">
        <v>60992</v>
      </c>
      <c r="C13" s="56" t="n">
        <v>32906</v>
      </c>
      <c r="D13" s="56" t="n">
        <v>33384</v>
      </c>
      <c r="E13" s="56" t="n">
        <v>34294</v>
      </c>
      <c r="G13" s="25" t="s">
        <v>13</v>
      </c>
      <c r="H13" s="56" t="n">
        <v>972031</v>
      </c>
      <c r="I13" s="56" t="n">
        <v>886477</v>
      </c>
      <c r="J13" s="56" t="n">
        <v>794356</v>
      </c>
      <c r="K13" s="56" t="n">
        <v>694106</v>
      </c>
      <c r="M13" s="25" t="s">
        <v>14</v>
      </c>
      <c r="N13" s="58" t="n">
        <v>-12186</v>
      </c>
      <c r="O13" s="58" t="n">
        <v>-71375</v>
      </c>
      <c r="P13" s="56" t="n">
        <v>7511</v>
      </c>
      <c r="Q13" s="56" t="n">
        <v>18905</v>
      </c>
    </row>
    <row r="14" customFormat="false" ht="15" hidden="false" customHeight="false" outlineLevel="0" collapsed="false">
      <c r="A14" s="25" t="s">
        <v>15</v>
      </c>
      <c r="B14" s="56" t="n">
        <v>1131200</v>
      </c>
      <c r="C14" s="56" t="n">
        <v>1048419</v>
      </c>
      <c r="D14" s="56" t="n">
        <v>994038</v>
      </c>
      <c r="E14" s="56" t="n">
        <v>814136</v>
      </c>
      <c r="G14" s="25" t="s">
        <v>16</v>
      </c>
      <c r="H14" s="56" t="n">
        <v>45519</v>
      </c>
      <c r="I14" s="56" t="n">
        <v>43531</v>
      </c>
      <c r="J14" s="56" t="n">
        <v>33234</v>
      </c>
      <c r="K14" s="56" t="n">
        <v>31573</v>
      </c>
      <c r="M14" s="25" t="s">
        <v>9</v>
      </c>
      <c r="N14" s="56" t="n">
        <v>24596</v>
      </c>
      <c r="O14" s="58" t="n">
        <v>-45630</v>
      </c>
      <c r="P14" s="58" t="n">
        <v>-52216</v>
      </c>
      <c r="Q14" s="58" t="n">
        <v>-158269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1017550</v>
      </c>
      <c r="I15" s="56" t="n">
        <v>930008</v>
      </c>
      <c r="J15" s="56" t="n">
        <v>827590</v>
      </c>
      <c r="K15" s="56" t="n">
        <v>725679</v>
      </c>
      <c r="M15" s="25" t="s">
        <v>19</v>
      </c>
      <c r="N15" s="56" t="n">
        <v>32782</v>
      </c>
      <c r="O15" s="58" t="n">
        <v>-48122</v>
      </c>
      <c r="P15" s="58" t="n">
        <v>-21239</v>
      </c>
      <c r="Q15" s="56" t="n">
        <v>932</v>
      </c>
    </row>
    <row r="16" customFormat="false" ht="15" hidden="false" customHeight="false" outlineLevel="0" collapsed="false">
      <c r="A16" s="25" t="s">
        <v>20</v>
      </c>
      <c r="B16" s="56" t="n">
        <v>2410992</v>
      </c>
      <c r="C16" s="56" t="n">
        <v>2462142</v>
      </c>
      <c r="D16" s="56" t="n">
        <v>2200923</v>
      </c>
      <c r="E16" s="56" t="n">
        <v>1981049</v>
      </c>
      <c r="G16" s="25" t="s">
        <v>21</v>
      </c>
      <c r="H16" s="56" t="n">
        <v>161889</v>
      </c>
      <c r="I16" s="56" t="n">
        <v>156445</v>
      </c>
      <c r="J16" s="56" t="n">
        <v>143320</v>
      </c>
      <c r="K16" s="56" t="n">
        <v>129500</v>
      </c>
      <c r="M16" s="25" t="s">
        <v>22</v>
      </c>
      <c r="N16" s="58" t="n">
        <v>-29009</v>
      </c>
      <c r="O16" s="56" t="n">
        <v>183628</v>
      </c>
      <c r="P16" s="58" t="n">
        <v>-41361</v>
      </c>
      <c r="Q16" s="56" t="n">
        <v>105269</v>
      </c>
    </row>
    <row r="17" customFormat="false" ht="15" hidden="false" customHeight="false" outlineLevel="0" collapsed="false">
      <c r="A17" s="25" t="s">
        <v>23</v>
      </c>
      <c r="B17" s="56" t="n">
        <v>776287</v>
      </c>
      <c r="C17" s="56" t="n">
        <v>944606</v>
      </c>
      <c r="D17" s="56" t="n">
        <v>782864</v>
      </c>
      <c r="E17" s="56" t="n">
        <v>697036</v>
      </c>
      <c r="G17" s="25" t="s">
        <v>11</v>
      </c>
      <c r="H17" s="56" t="n">
        <v>1442</v>
      </c>
      <c r="I17" s="56" t="n">
        <v>3218</v>
      </c>
      <c r="J17" s="56" t="n">
        <v>3007</v>
      </c>
      <c r="K17" s="56" t="n">
        <v>2615</v>
      </c>
      <c r="M17" s="25" t="s">
        <v>24</v>
      </c>
      <c r="N17" s="56" t="n">
        <v>32767</v>
      </c>
      <c r="O17" s="56" t="n">
        <v>13979</v>
      </c>
      <c r="P17" s="56" t="n">
        <v>3295</v>
      </c>
      <c r="Q17" s="58" t="n">
        <v>-24168</v>
      </c>
    </row>
    <row r="18" customFormat="false" ht="15" hidden="false" customHeight="false" outlineLevel="0" collapsed="false">
      <c r="A18" s="25" t="s">
        <v>25</v>
      </c>
      <c r="B18" s="56" t="n">
        <v>131108</v>
      </c>
      <c r="C18" s="56" t="n">
        <v>157510</v>
      </c>
      <c r="D18" s="56" t="n">
        <v>245397</v>
      </c>
      <c r="E18" s="56" t="n">
        <v>257614</v>
      </c>
      <c r="G18" s="25" t="s">
        <v>26</v>
      </c>
      <c r="H18" s="56" t="n">
        <v>2267</v>
      </c>
      <c r="I18" s="56" t="n">
        <v>4835</v>
      </c>
      <c r="J18" s="56" t="n">
        <v>6809</v>
      </c>
      <c r="K18" s="56" t="n">
        <v>5350</v>
      </c>
      <c r="M18" s="25" t="s">
        <v>27</v>
      </c>
      <c r="N18" s="58" t="n">
        <v>-142313</v>
      </c>
      <c r="O18" s="58" t="n">
        <v>-84816</v>
      </c>
      <c r="P18" s="58" t="n">
        <v>-218347</v>
      </c>
      <c r="Q18" s="58" t="n">
        <v>-93402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165598</v>
      </c>
      <c r="I19" s="56" t="n">
        <v>164498</v>
      </c>
      <c r="J19" s="56" t="n">
        <v>153136</v>
      </c>
      <c r="K19" s="56" t="n">
        <v>137465</v>
      </c>
      <c r="M19" s="25" t="s">
        <v>30</v>
      </c>
      <c r="N19" s="56" t="n">
        <v>5</v>
      </c>
      <c r="O19" s="56" t="n">
        <v>1260</v>
      </c>
      <c r="P19" s="56" t="n">
        <v>75806</v>
      </c>
      <c r="Q19" s="56" t="n">
        <v>272</v>
      </c>
    </row>
    <row r="20" customFormat="false" ht="15" hidden="false" customHeight="false" outlineLevel="0" collapsed="false">
      <c r="A20" s="25" t="s">
        <v>31</v>
      </c>
      <c r="B20" s="56" t="n">
        <v>1503597</v>
      </c>
      <c r="C20" s="56" t="n">
        <v>1360026</v>
      </c>
      <c r="D20" s="56" t="n">
        <v>1172662</v>
      </c>
      <c r="E20" s="56" t="n">
        <v>1026399</v>
      </c>
      <c r="G20" s="25" t="s">
        <v>32</v>
      </c>
      <c r="H20" s="56" t="n">
        <v>851952</v>
      </c>
      <c r="I20" s="56" t="n">
        <v>765510</v>
      </c>
      <c r="J20" s="56" t="n">
        <v>674454</v>
      </c>
      <c r="K20" s="56" t="n">
        <v>588214</v>
      </c>
      <c r="M20" s="25" t="s">
        <v>33</v>
      </c>
      <c r="N20" s="58" t="n">
        <v>-100000</v>
      </c>
      <c r="O20" s="58" t="n">
        <v>-125000</v>
      </c>
      <c r="P20" s="56" t="n">
        <v>33082</v>
      </c>
      <c r="Q20" s="56" t="n">
        <v>41761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23481</v>
      </c>
      <c r="I21" s="56" t="n">
        <v>20146</v>
      </c>
      <c r="J21" s="56" t="n">
        <v>21191</v>
      </c>
      <c r="K21" s="56" t="n">
        <v>18390</v>
      </c>
      <c r="M21" s="25" t="s">
        <v>36</v>
      </c>
      <c r="N21" s="58" t="n">
        <v>-684900</v>
      </c>
      <c r="O21" s="58" t="n">
        <v>-558000</v>
      </c>
      <c r="P21" s="58" t="n">
        <v>-507000</v>
      </c>
      <c r="Q21" s="58" t="n">
        <v>-450000</v>
      </c>
    </row>
    <row r="22" customFormat="false" ht="15" hidden="false" customHeight="false" outlineLevel="0" collapsed="false">
      <c r="A22" s="25" t="s">
        <v>37</v>
      </c>
      <c r="B22" s="56" t="n">
        <v>2410992</v>
      </c>
      <c r="C22" s="56" t="n">
        <v>2462142</v>
      </c>
      <c r="D22" s="56" t="n">
        <v>2200923</v>
      </c>
      <c r="E22" s="56" t="n">
        <v>1981049</v>
      </c>
      <c r="G22" s="25" t="s">
        <v>8</v>
      </c>
      <c r="H22" s="56" t="n">
        <v>828471</v>
      </c>
      <c r="I22" s="56" t="n">
        <v>745364</v>
      </c>
      <c r="J22" s="56" t="n">
        <v>653263</v>
      </c>
      <c r="K22" s="56" t="n">
        <v>569824</v>
      </c>
      <c r="M22" s="25" t="s">
        <v>38</v>
      </c>
      <c r="N22" s="56" t="n">
        <v>128031</v>
      </c>
      <c r="O22" s="56" t="n">
        <v>85842</v>
      </c>
      <c r="P22" s="56" t="n">
        <v>110904</v>
      </c>
      <c r="Q22" s="56" t="n">
        <v>59772</v>
      </c>
    </row>
    <row r="23" customFormat="false" ht="15" hidden="false" customHeight="false" outlineLevel="0" collapsed="false">
      <c r="A23" s="6"/>
      <c r="B23" s="4" t="n">
        <f aca="false">B11+B12</f>
        <v>1218800</v>
      </c>
      <c r="C23" s="4" t="n">
        <f aca="false">C11+C12</f>
        <v>1380817</v>
      </c>
      <c r="D23" s="4" t="n">
        <f aca="false">D11+D12</f>
        <v>1173501</v>
      </c>
      <c r="E23" s="4" t="n">
        <f aca="false">E11+E12</f>
        <v>1132619</v>
      </c>
      <c r="G23" s="25" t="s">
        <v>39</v>
      </c>
      <c r="H23" s="57"/>
      <c r="I23" s="57"/>
      <c r="J23" s="57"/>
      <c r="K23" s="57"/>
      <c r="M23" s="25" t="s">
        <v>40</v>
      </c>
      <c r="N23" s="56" t="n">
        <v>109622</v>
      </c>
      <c r="O23" s="56" t="n">
        <v>128031</v>
      </c>
      <c r="P23" s="56" t="n">
        <v>85842</v>
      </c>
      <c r="Q23" s="56" t="n">
        <v>110904</v>
      </c>
    </row>
    <row r="24" customFormat="false" ht="15" hidden="false" customHeight="false" outlineLevel="0" collapsed="false">
      <c r="A24" s="6"/>
      <c r="B24" s="6" t="n">
        <f aca="false">B16/(B22-B20)</f>
        <v>2.65704792290017</v>
      </c>
      <c r="C24" s="6" t="n">
        <f aca="false">C16/(C22-C20)</f>
        <v>2.23401347952484</v>
      </c>
      <c r="D24" s="6" t="n">
        <f aca="false">D16/(D22-D20)</f>
        <v>2.14043224434263</v>
      </c>
      <c r="E24" s="6" t="n">
        <f aca="false">E16/(E22-E20)</f>
        <v>2.07515738752422</v>
      </c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909941</v>
      </c>
      <c r="O24" s="12" t="n">
        <f aca="false">SUM(O11:O17)</f>
        <v>808745</v>
      </c>
      <c r="P24" s="12" t="n">
        <f aca="false">SUM(P11:P17)</f>
        <v>591397</v>
      </c>
      <c r="Q24" s="12" t="n">
        <f aca="false">SUM(Q11:Q17)</f>
        <v>552501</v>
      </c>
    </row>
    <row r="25" customFormat="false" ht="15" hidden="false" customHeight="false" outlineLevel="0" collapsed="false">
      <c r="A25" s="6"/>
      <c r="B25" s="6" t="n">
        <f aca="false">B24/B5*1000</f>
        <v>0.000203605204819936</v>
      </c>
      <c r="G25" s="25" t="s">
        <v>43</v>
      </c>
      <c r="H25" s="57" t="n">
        <v>684900</v>
      </c>
      <c r="I25" s="57" t="n">
        <v>585000</v>
      </c>
      <c r="J25" s="57"/>
      <c r="K25" s="57"/>
      <c r="M25" s="2" t="s">
        <v>44</v>
      </c>
      <c r="N25" s="12" t="n">
        <f aca="false">N18+N19</f>
        <v>-142308</v>
      </c>
      <c r="O25" s="12" t="n">
        <f aca="false">O18+O19</f>
        <v>-83556</v>
      </c>
      <c r="P25" s="12" t="n">
        <f aca="false">P18+P19</f>
        <v>-142541</v>
      </c>
      <c r="Q25" s="12" t="n">
        <f aca="false">Q18+Q19</f>
        <v>-93130</v>
      </c>
    </row>
    <row r="26" customFormat="false" ht="15" hidden="false" customHeight="false" outlineLevel="0" collapsed="false">
      <c r="A26" s="6"/>
      <c r="B26" s="4" t="n">
        <f aca="false">B23-B17</f>
        <v>442513</v>
      </c>
      <c r="C26" s="4" t="n">
        <f aca="false">C23-C17</f>
        <v>436211</v>
      </c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-784900</v>
      </c>
      <c r="O26" s="12" t="n">
        <f aca="false">O20+O21</f>
        <v>-683000</v>
      </c>
      <c r="P26" s="12" t="n">
        <f aca="false">P20+P21</f>
        <v>-473918</v>
      </c>
      <c r="Q26" s="12" t="n">
        <f aca="false">Q20+Q21</f>
        <v>-408239</v>
      </c>
    </row>
    <row r="27" customFormat="false" ht="15" hidden="false" customHeight="false" outlineLevel="0" collapsed="false">
      <c r="A27" s="6"/>
      <c r="B27" s="6" t="n">
        <f aca="false">B22/90000</f>
        <v>26.7888</v>
      </c>
      <c r="F27" s="6" t="n">
        <f aca="false">H20*0.025</f>
        <v>21298.8</v>
      </c>
      <c r="G27" s="25" t="s">
        <v>47</v>
      </c>
      <c r="H27" s="57"/>
      <c r="I27" s="57"/>
      <c r="J27" s="57"/>
      <c r="K27" s="57"/>
      <c r="M27" s="2" t="s">
        <v>115</v>
      </c>
      <c r="N27" s="12" t="n">
        <f aca="false">N24+N18+N20</f>
        <v>667628</v>
      </c>
      <c r="O27" s="12" t="n">
        <f aca="false">O24+O18+O20</f>
        <v>598929</v>
      </c>
      <c r="P27" s="12" t="n">
        <f aca="false">P24+P18+P20</f>
        <v>406132</v>
      </c>
      <c r="Q27" s="12" t="n">
        <f aca="false">Q24+Q18+Q20</f>
        <v>500860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-30831</v>
      </c>
      <c r="O28" s="12" t="n">
        <f aca="false">(D11-C11)+(C17-D17)</f>
        <v>56</v>
      </c>
      <c r="P28" s="12" t="n">
        <f aca="false">(E11-D11)+(D17-E17)</f>
        <v>90518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0.176777442646015</v>
      </c>
      <c r="C30" s="24" t="n">
        <f aca="false">C11/C$16</f>
        <v>0.228945771608624</v>
      </c>
      <c r="D30" s="24" t="n">
        <f aca="false">D11/D$16</f>
        <v>0.182655640383603</v>
      </c>
      <c r="E30" s="24" t="n">
        <f aca="false">E11/E$16</f>
        <v>0.205295780164953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0.129948530110685</v>
      </c>
      <c r="O30" s="26" t="n">
        <f aca="false">O11/I$11</f>
        <v>0.130794916685721</v>
      </c>
      <c r="P30" s="26" t="n">
        <f aca="false">P11/J$11</f>
        <v>0.128647142503451</v>
      </c>
      <c r="Q30" s="26" t="n">
        <f aca="false">Q11/K$11</f>
        <v>0.126928481538193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0.328740617969699</v>
      </c>
      <c r="C31" s="24" t="n">
        <f aca="false">C12/C$16</f>
        <v>0.331873628734655</v>
      </c>
      <c r="D31" s="24" t="n">
        <f aca="false">D12/D$16</f>
        <v>0.35053020937125</v>
      </c>
      <c r="E31" s="24" t="n">
        <f aca="false">E12/E$16</f>
        <v>0.36643111805917</v>
      </c>
      <c r="F31" s="6"/>
      <c r="G31" s="25" t="s">
        <v>10</v>
      </c>
      <c r="H31" s="24" t="n">
        <f aca="false">H12/H$11</f>
        <v>0.847533589380896</v>
      </c>
      <c r="I31" s="24" t="n">
        <f aca="false">I12/I$11</f>
        <v>0.844442869042766</v>
      </c>
      <c r="J31" s="24" t="n">
        <f aca="false">J12/J$11</f>
        <v>0.848482432411296</v>
      </c>
      <c r="K31" s="24" t="n">
        <f aca="false">K12/K$11</f>
        <v>0.85022148298655</v>
      </c>
      <c r="L31" s="6"/>
      <c r="M31" s="25" t="s">
        <v>11</v>
      </c>
      <c r="N31" s="26" t="n">
        <f aca="false">N12/H$11</f>
        <v>0.00510087401876406</v>
      </c>
      <c r="O31" s="26" t="n">
        <f aca="false">O12/I$11</f>
        <v>0.00542244288764343</v>
      </c>
      <c r="P31" s="26" t="n">
        <f aca="false">P12/J$11</f>
        <v>0.00399663072185029</v>
      </c>
      <c r="Q31" s="26" t="n">
        <f aca="false">Q12/K$11</f>
        <v>0.00466486672179286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0.0252974709165356</v>
      </c>
      <c r="C32" s="24" t="n">
        <f aca="false">C13/C$16</f>
        <v>0.0133647856216254</v>
      </c>
      <c r="D32" s="24" t="n">
        <f aca="false">D13/D$16</f>
        <v>0.0151681817128541</v>
      </c>
      <c r="E32" s="24" t="n">
        <f aca="false">E13/E$16</f>
        <v>0.0173110306711242</v>
      </c>
      <c r="F32" s="6"/>
      <c r="G32" s="25" t="s">
        <v>13</v>
      </c>
      <c r="H32" s="24" t="n">
        <f aca="false">H13/H$11</f>
        <v>0.152466410619104</v>
      </c>
      <c r="I32" s="24" t="n">
        <f aca="false">I13/I$11</f>
        <v>0.155557130957234</v>
      </c>
      <c r="J32" s="24" t="n">
        <f aca="false">J13/J$11</f>
        <v>0.151517567588704</v>
      </c>
      <c r="K32" s="24" t="n">
        <f aca="false">K13/K$11</f>
        <v>0.14977851701345</v>
      </c>
      <c r="L32" s="6"/>
      <c r="M32" s="25" t="s">
        <v>14</v>
      </c>
      <c r="N32" s="26" t="n">
        <f aca="false">N13/H$11</f>
        <v>-0.00191141607603502</v>
      </c>
      <c r="O32" s="26" t="n">
        <f aca="false">O13/I$11</f>
        <v>-0.0125247358048461</v>
      </c>
      <c r="P32" s="26" t="n">
        <f aca="false">P13/J$11</f>
        <v>0.00143266803569024</v>
      </c>
      <c r="Q32" s="26" t="n">
        <f aca="false">Q13/K$11</f>
        <v>0.00407943867959543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0.469184468467751</v>
      </c>
      <c r="C33" s="24" t="n">
        <f aca="false">C14/C$16</f>
        <v>0.425815814035096</v>
      </c>
      <c r="D33" s="24" t="n">
        <f aca="false">D14/D$16</f>
        <v>0.451645968532293</v>
      </c>
      <c r="E33" s="24" t="n">
        <f aca="false">E14/E$16</f>
        <v>0.410962071104753</v>
      </c>
      <c r="F33" s="6"/>
      <c r="G33" s="25" t="s">
        <v>16</v>
      </c>
      <c r="H33" s="24" t="n">
        <f aca="false">H14/H$11</f>
        <v>0.00713981194526819</v>
      </c>
      <c r="I33" s="24" t="n">
        <f aca="false">I14/I$11</f>
        <v>0.00763872888715595</v>
      </c>
      <c r="J33" s="24" t="n">
        <f aca="false">J14/J$11</f>
        <v>0.00633914119266801</v>
      </c>
      <c r="K33" s="24" t="n">
        <f aca="false">K14/K$11</f>
        <v>0.00681301864220399</v>
      </c>
      <c r="L33" s="6"/>
      <c r="M33" s="25" t="s">
        <v>9</v>
      </c>
      <c r="N33" s="26" t="n">
        <f aca="false">N14/H$11</f>
        <v>0.003857967323663</v>
      </c>
      <c r="O33" s="26" t="n">
        <f aca="false">O14/I$11</f>
        <v>-0.0080070570196165</v>
      </c>
      <c r="P33" s="26" t="n">
        <f aca="false">P14/J$11</f>
        <v>-0.00995981815358827</v>
      </c>
      <c r="Q33" s="26" t="n">
        <f aca="false">Q14/K$11</f>
        <v>-0.0341522708479708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0.159606222564372</v>
      </c>
      <c r="I34" s="24" t="n">
        <f aca="false">I15/I$11</f>
        <v>0.16319585984439</v>
      </c>
      <c r="J34" s="24" t="n">
        <f aca="false">J15/J$11</f>
        <v>0.157856708781372</v>
      </c>
      <c r="K34" s="24" t="n">
        <f aca="false">K15/K$11</f>
        <v>0.156591535655654</v>
      </c>
      <c r="L34" s="6"/>
      <c r="M34" s="25" t="s">
        <v>19</v>
      </c>
      <c r="N34" s="26" t="n">
        <f aca="false">N15/H$11</f>
        <v>0.00514196962125226</v>
      </c>
      <c r="O34" s="26" t="n">
        <f aca="false">O15/I$11</f>
        <v>-0.0084443479705892</v>
      </c>
      <c r="P34" s="26" t="n">
        <f aca="false">P15/J$11</f>
        <v>-0.00405118311942817</v>
      </c>
      <c r="Q34" s="26" t="n">
        <f aca="false">Q15/K$11</f>
        <v>0.000201112766431258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0.0253928472947016</v>
      </c>
      <c r="I35" s="24" t="n">
        <f aca="false">I16/I$11</f>
        <v>0.0274526415830354</v>
      </c>
      <c r="J35" s="24" t="n">
        <f aca="false">J16/J$11</f>
        <v>0.0273372364365763</v>
      </c>
      <c r="K35" s="24" t="n">
        <f aca="false">K16/K$11</f>
        <v>0.0279443167949012</v>
      </c>
      <c r="L35" s="6"/>
      <c r="M35" s="25" t="s">
        <v>22</v>
      </c>
      <c r="N35" s="26" t="n">
        <f aca="false">N16/H$11</f>
        <v>-0.00455016157473329</v>
      </c>
      <c r="O35" s="26" t="n">
        <f aca="false">O16/I$11</f>
        <v>0.0322226576024137</v>
      </c>
      <c r="P35" s="26" t="n">
        <f aca="false">P16/J$11</f>
        <v>-0.00788930670006443</v>
      </c>
      <c r="Q35" s="26" t="n">
        <f aca="false">Q16/K$11</f>
        <v>0.0227156006539186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0.321978256253028</v>
      </c>
      <c r="C36" s="24" t="n">
        <f aca="false">C17/C$16</f>
        <v>0.383652120795632</v>
      </c>
      <c r="D36" s="24" t="n">
        <f aca="false">D17/D$16</f>
        <v>0.355698041230884</v>
      </c>
      <c r="E36" s="24" t="n">
        <f aca="false">E17/E$16</f>
        <v>0.351851973373702</v>
      </c>
      <c r="F36" s="6"/>
      <c r="G36" s="25" t="s">
        <v>11</v>
      </c>
      <c r="H36" s="24" t="n">
        <f aca="false">H17/H$11</f>
        <v>0.000226182667129698</v>
      </c>
      <c r="I36" s="24" t="n">
        <f aca="false">I17/I$11</f>
        <v>0.000564687913414988</v>
      </c>
      <c r="J36" s="24" t="n">
        <f aca="false">J17/J$11</f>
        <v>0.000573563145163167</v>
      </c>
      <c r="K36" s="24" t="n">
        <f aca="false">K17/K$11</f>
        <v>0.000564280991649936</v>
      </c>
      <c r="L36" s="6"/>
      <c r="M36" s="25" t="s">
        <v>24</v>
      </c>
      <c r="N36" s="26" t="n">
        <f aca="false">N17/H$11</f>
        <v>0.00513961681958309</v>
      </c>
      <c r="O36" s="26" t="n">
        <f aca="false">O17/I$11</f>
        <v>0.00245300569969798</v>
      </c>
      <c r="P36" s="26" t="n">
        <f aca="false">P17/J$11</f>
        <v>0.000628497028038788</v>
      </c>
      <c r="Q36" s="26" t="n">
        <f aca="false">Q17/K$11</f>
        <v>-0.00521512160848782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0.054379276248117</v>
      </c>
      <c r="C37" s="24" t="n">
        <f aca="false">C18/C$16</f>
        <v>0.0639727521808247</v>
      </c>
      <c r="D37" s="24" t="n">
        <f aca="false">D18/D$16</f>
        <v>0.111497312718346</v>
      </c>
      <c r="E37" s="24" t="n">
        <f aca="false">E18/E$16</f>
        <v>0.130039186309879</v>
      </c>
      <c r="F37" s="6"/>
      <c r="G37" s="25" t="s">
        <v>26</v>
      </c>
      <c r="H37" s="24" t="n">
        <f aca="false">H18/H$11</f>
        <v>0.000355586758934137</v>
      </c>
      <c r="I37" s="24" t="n">
        <f aca="false">I18/I$11</f>
        <v>0.000848435693400083</v>
      </c>
      <c r="J37" s="24" t="n">
        <f aca="false">J18/J$11</f>
        <v>0.00129876669618091</v>
      </c>
      <c r="K37" s="24" t="n">
        <f aca="false">K18/K$11</f>
        <v>0.00115445633090905</v>
      </c>
      <c r="L37" s="6"/>
      <c r="M37" s="25" t="s">
        <v>27</v>
      </c>
      <c r="N37" s="26" t="n">
        <f aca="false">N18/H$11</f>
        <v>-0.022322284262988</v>
      </c>
      <c r="O37" s="26" t="n">
        <f aca="false">O18/I$11</f>
        <v>-0.0148833343891254</v>
      </c>
      <c r="P37" s="26" t="n">
        <f aca="false">P18/J$11</f>
        <v>-0.0416480851536222</v>
      </c>
      <c r="Q37" s="26" t="n">
        <f aca="false">Q18/K$11</f>
        <v>-0.0201548654616013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0.0259746167207654</v>
      </c>
      <c r="I38" s="24" t="n">
        <f aca="false">I19/I$11</f>
        <v>0.0288657651898504</v>
      </c>
      <c r="J38" s="24" t="n">
        <f aca="false">J19/J$11</f>
        <v>0.0292095662779204</v>
      </c>
      <c r="K38" s="24" t="n">
        <f aca="false">K19/K$11</f>
        <v>0.0296630541174602</v>
      </c>
      <c r="L38" s="6"/>
      <c r="M38" s="25" t="s">
        <v>30</v>
      </c>
      <c r="N38" s="26" t="n">
        <f aca="false">N19/H$11</f>
        <v>7.84267223057205E-007</v>
      </c>
      <c r="O38" s="26" t="n">
        <f aca="false">O19/I$11</f>
        <v>0.000221102166222152</v>
      </c>
      <c r="P38" s="26" t="n">
        <f aca="false">P19/J$11</f>
        <v>0.0144594372405185</v>
      </c>
      <c r="Q38" s="26" t="n">
        <f aca="false">Q19/K$11</f>
        <v>5.86938545807964E-005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0.623642467498855</v>
      </c>
      <c r="C39" s="24" t="n">
        <f aca="false">C20/C$16</f>
        <v>0.552375127023543</v>
      </c>
      <c r="D39" s="24" t="n">
        <f aca="false">D20/D$16</f>
        <v>0.53280464605077</v>
      </c>
      <c r="E39" s="24" t="n">
        <f aca="false">E20/E$16</f>
        <v>0.518108840316418</v>
      </c>
      <c r="F39" s="6"/>
      <c r="G39" s="25" t="s">
        <v>32</v>
      </c>
      <c r="H39" s="24" t="n">
        <f aca="false">H20/H$11</f>
        <v>0.133631605843606</v>
      </c>
      <c r="I39" s="24" t="n">
        <f aca="false">I20/I$11</f>
        <v>0.134330094654539</v>
      </c>
      <c r="J39" s="24" t="n">
        <f aca="false">J20/J$11</f>
        <v>0.128647142503451</v>
      </c>
      <c r="K39" s="24" t="n">
        <f aca="false">K20/K$11</f>
        <v>0.126928481538193</v>
      </c>
      <c r="L39" s="6"/>
      <c r="M39" s="25" t="s">
        <v>33</v>
      </c>
      <c r="N39" s="26" t="n">
        <f aca="false">N20/H$11</f>
        <v>-0.0156853444611441</v>
      </c>
      <c r="O39" s="26" t="n">
        <f aca="false">O20/I$11</f>
        <v>-0.0219347387125151</v>
      </c>
      <c r="P39" s="26" t="n">
        <f aca="false">P20/J$11</f>
        <v>0.00631014831003921</v>
      </c>
      <c r="Q39" s="26" t="n">
        <f aca="false">Q20/K$11</f>
        <v>0.00901144875422294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0.00368307573292125</v>
      </c>
      <c r="I40" s="24" t="n">
        <f aca="false">I21/I$11</f>
        <v>0.00353517796881863</v>
      </c>
      <c r="J40" s="24" t="n">
        <f aca="false">J21/J$11</f>
        <v>0.00404202747228223</v>
      </c>
      <c r="K40" s="24" t="n">
        <f aca="false">K21/K$11</f>
        <v>0.00396830877110605</v>
      </c>
      <c r="L40" s="6"/>
      <c r="M40" s="25" t="s">
        <v>36</v>
      </c>
      <c r="N40" s="26" t="n">
        <f aca="false">N21/H$11</f>
        <v>-0.107428924214376</v>
      </c>
      <c r="O40" s="26" t="n">
        <f aca="false">O21/I$11</f>
        <v>-0.0979166736126673</v>
      </c>
      <c r="P40" s="26" t="n">
        <f aca="false">P21/J$11</f>
        <v>-0.0967065229789577</v>
      </c>
      <c r="Q40" s="26" t="n">
        <f aca="false">Q21/K$11</f>
        <v>-0.0971038035344058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0.129948530110685</v>
      </c>
      <c r="I41" s="24" t="n">
        <f aca="false">I22/I$11</f>
        <v>0.130794916685721</v>
      </c>
      <c r="J41" s="24" t="n">
        <f aca="false">J22/J$11</f>
        <v>0.124605115031169</v>
      </c>
      <c r="K41" s="24" t="n">
        <f aca="false">K22/K$11</f>
        <v>0.122960172767087</v>
      </c>
      <c r="L41" s="6"/>
      <c r="M41" s="25" t="s">
        <v>38</v>
      </c>
      <c r="N41" s="26" t="n">
        <f aca="false">N22/H$11</f>
        <v>0.0200821033670474</v>
      </c>
      <c r="O41" s="26" t="n">
        <f aca="false">O22/I$11</f>
        <v>0.0150633747244777</v>
      </c>
      <c r="P41" s="26" t="n">
        <f aca="false">P22/J$11</f>
        <v>0.021154122730687</v>
      </c>
      <c r="Q41" s="26" t="n">
        <f aca="false">Q22/K$11</f>
        <v>0.01289797454413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0.0171945883051954</v>
      </c>
      <c r="O42" s="26" t="n">
        <f aca="false">O23/I$11</f>
        <v>0.0224666122568161</v>
      </c>
      <c r="P42" s="26" t="n">
        <f aca="false">P23/J$11</f>
        <v>0.0163737304646148</v>
      </c>
      <c r="Q42" s="26" t="n">
        <f aca="false">Q23/K$11</f>
        <v>0.0239315560603994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0.142727380243179</v>
      </c>
      <c r="O43" s="26" t="n">
        <f aca="false">O24/I11</f>
        <v>0.141916882080424</v>
      </c>
      <c r="P43" s="26" t="n">
        <f aca="false">P24/J11</f>
        <v>0.11280463031595</v>
      </c>
      <c r="Q43" s="26" t="n">
        <f aca="false">Q24/K11</f>
        <v>0.119222107903473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0.107428924214376</v>
      </c>
      <c r="I44" s="24" t="n">
        <f aca="false">I25/I$11</f>
        <v>0.102654577174571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0.377413529368824</v>
      </c>
      <c r="O44" s="26" t="n">
        <f aca="false">O24/C16</f>
        <v>0.328472118992325</v>
      </c>
      <c r="P44" s="26" t="n">
        <f aca="false">P24/D16</f>
        <v>0.268704084604505</v>
      </c>
      <c r="Q44" s="26" t="n">
        <f aca="false">Q24/E16</f>
        <v>0.278893152062367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0.605176120995187</v>
      </c>
      <c r="O45" s="26" t="n">
        <f aca="false">O24/C20</f>
        <v>0.594654072789785</v>
      </c>
      <c r="P45" s="26" t="n">
        <f aca="false">P24/D20</f>
        <v>0.504320085412506</v>
      </c>
      <c r="Q45" s="26" t="n">
        <f aca="false">Q24/E20</f>
        <v>0.53829066474149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</v>
      </c>
      <c r="L46" s="6"/>
      <c r="M46" s="2" t="s">
        <v>52</v>
      </c>
      <c r="N46" s="26" t="n">
        <f aca="false">N24/H22</f>
        <v>1.09833778128625</v>
      </c>
      <c r="O46" s="26" t="n">
        <f aca="false">O24/I22</f>
        <v>1.08503362115691</v>
      </c>
      <c r="P46" s="26" t="n">
        <f aca="false">P24/J22</f>
        <v>0.905296947783664</v>
      </c>
      <c r="Q46" s="26" t="n">
        <f aca="false">Q24/K22</f>
        <v>0.969599385073286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1.00280583428386</v>
      </c>
      <c r="O47" s="26" t="n">
        <f aca="false">O24/(C22-C20)</f>
        <v>0.733811141476941</v>
      </c>
      <c r="P47" s="26" t="n">
        <f aca="false">P24/(D22-D20)</f>
        <v>0.575142886874052</v>
      </c>
      <c r="Q47" s="26" t="n">
        <f aca="false">Q24/(E22-E20)</f>
        <v>0.578747184832137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24"/>
      <c r="I48" s="6"/>
      <c r="J48" s="6"/>
      <c r="K48" s="6"/>
      <c r="L48" s="6"/>
      <c r="M48" s="2" t="s">
        <v>54</v>
      </c>
      <c r="N48" s="26" t="n">
        <f aca="false">N24/H25</f>
        <v>1.32857497444882</v>
      </c>
      <c r="O48" s="26" t="n">
        <f aca="false">O24/I25</f>
        <v>1.38247008547009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6.39394152326211</v>
      </c>
      <c r="O49" s="26" t="n">
        <f aca="false">O24/(O18*-1)</f>
        <v>9.53528815317865</v>
      </c>
      <c r="P49" s="26" t="n">
        <f aca="false">P24/(P18*-1)</f>
        <v>2.7085190087338</v>
      </c>
      <c r="Q49" s="26" t="n">
        <f aca="false">Q24/(Q18*-1)</f>
        <v>5.91530159953748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6"/>
      <c r="M50" s="2" t="s">
        <v>117</v>
      </c>
      <c r="N50" s="32" t="n">
        <f aca="false">(H15-H16-N28-N25)/($B$6)</f>
        <v>7.88358343725413E-005</v>
      </c>
      <c r="O50" s="32" t="n">
        <f aca="false">(I15-I16-O28-O25)/($B$6)</f>
        <v>6.56758132920231E-005</v>
      </c>
      <c r="P50" s="32" t="n">
        <f aca="false">(J15-J16-P28-P25)/($B$6)</f>
        <v>5.64213384502931E-005</v>
      </c>
    </row>
    <row r="51" customFormat="false" ht="15" hidden="false" customHeight="false" outlineLevel="0" collapsed="false">
      <c r="A51" s="6"/>
      <c r="G51" s="6"/>
      <c r="M51" s="2" t="s">
        <v>59</v>
      </c>
      <c r="N51" s="32" t="n">
        <f aca="false">(N11-N24-N25)/B16</f>
        <v>0.0252335967933531</v>
      </c>
      <c r="O51" s="32" t="n">
        <f aca="false">(O11-O24-O25)/C16</f>
        <v>0.00819408466286672</v>
      </c>
      <c r="P51" s="32" t="n">
        <f aca="false">(P11-P24-P25)/D16</f>
        <v>0.102501541398768</v>
      </c>
      <c r="Q51" s="32" t="n">
        <f aca="false">(Q11-Q24-Q25)/E16</f>
        <v>0.0650377653455316</v>
      </c>
    </row>
    <row r="52" customFormat="false" ht="15" hidden="false" customHeight="false" outlineLevel="0" collapsed="false">
      <c r="A52" s="6"/>
      <c r="G52" s="6"/>
      <c r="M52" s="6"/>
      <c r="N52" s="4" t="n">
        <f aca="false">N24+N18</f>
        <v>767628</v>
      </c>
      <c r="O52" s="4" t="n">
        <f aca="false">O24+O18</f>
        <v>723929</v>
      </c>
      <c r="P52" s="4" t="n">
        <f aca="false">P24+P18</f>
        <v>373050</v>
      </c>
      <c r="Q52" s="4" t="n">
        <f aca="false">Q24+Q18</f>
        <v>459099</v>
      </c>
      <c r="R52" s="4" t="n">
        <f aca="false">AVERAGE(N52:Q52)</f>
        <v>580926.5</v>
      </c>
    </row>
    <row r="53" customFormat="false" ht="15" hidden="false" customHeight="false" outlineLevel="0" collapsed="false">
      <c r="A53" s="6"/>
      <c r="G53" s="6"/>
      <c r="M53" s="6"/>
      <c r="N53" s="28" t="n">
        <f aca="false">LN(N52/O52)</f>
        <v>0.0586119195216468</v>
      </c>
      <c r="O53" s="28" t="n">
        <f aca="false">LN(O52/P52)</f>
        <v>0.662980862361037</v>
      </c>
      <c r="P53" s="28" t="n">
        <f aca="false">LN(P52/Q52)</f>
        <v>-0.207553414160591</v>
      </c>
    </row>
    <row r="54" customFormat="false" ht="15" hidden="false" customHeight="false" outlineLevel="0" collapsed="false">
      <c r="A54" s="6"/>
      <c r="G54" s="2" t="s">
        <v>56</v>
      </c>
      <c r="H54" s="28" t="n">
        <f aca="false">LN(H22/I22)</f>
        <v>0.105709143574434</v>
      </c>
      <c r="I54" s="28" t="n">
        <f aca="false">LN(I15/J15)</f>
        <v>0.116675325594402</v>
      </c>
      <c r="J54" s="28" t="n">
        <f aca="false">LN(J22/K22)</f>
        <v>0.136652263481318</v>
      </c>
      <c r="M54" s="6"/>
    </row>
    <row r="55" customFormat="false" ht="15" hidden="false" customHeight="false" outlineLevel="0" collapsed="false">
      <c r="A55" s="29" t="s">
        <v>57</v>
      </c>
      <c r="B55" s="30" t="n">
        <f aca="false">B23/B17</f>
        <v>1.57003788547277</v>
      </c>
      <c r="C55" s="30" t="n">
        <f aca="false">C23/C17</f>
        <v>1.46179147708145</v>
      </c>
      <c r="D55" s="30" t="n">
        <f aca="false">D23/D17</f>
        <v>1.498984497946</v>
      </c>
      <c r="E55" s="30" t="n">
        <f aca="false">E23/E17</f>
        <v>1.6249074653246</v>
      </c>
      <c r="G55" s="29" t="s">
        <v>58</v>
      </c>
      <c r="H55" s="63" t="n">
        <f aca="false">H13/H11</f>
        <v>0.152466410619104</v>
      </c>
      <c r="I55" s="63" t="n">
        <f aca="false">I13/I11</f>
        <v>0.155557130957234</v>
      </c>
      <c r="J55" s="63" t="n">
        <f aca="false">J13/J11</f>
        <v>0.151517567588704</v>
      </c>
      <c r="K55" s="63" t="n">
        <f aca="false">K13/K11</f>
        <v>0.14977851701345</v>
      </c>
      <c r="L55" s="31"/>
      <c r="M55" s="6"/>
    </row>
    <row r="56" customFormat="false" ht="15" hidden="false" customHeight="false" outlineLevel="0" collapsed="false">
      <c r="A56" s="29" t="s">
        <v>60</v>
      </c>
      <c r="B56" s="31" t="n">
        <f aca="false">H20/B16</f>
        <v>0.353361603854347</v>
      </c>
      <c r="C56" s="31" t="n">
        <f aca="false">I20/C16</f>
        <v>0.310912205713562</v>
      </c>
      <c r="D56" s="31" t="n">
        <f aca="false">J20/D16</f>
        <v>0.306441433889327</v>
      </c>
      <c r="E56" s="31" t="n">
        <f aca="false">K20/E16</f>
        <v>0.296920469912657</v>
      </c>
      <c r="F56" s="31"/>
      <c r="G56" s="29" t="s">
        <v>61</v>
      </c>
      <c r="H56" s="63" t="n">
        <f aca="false">H16/H11</f>
        <v>0.0253928472947016</v>
      </c>
      <c r="I56" s="63" t="n">
        <f aca="false">I16/I11</f>
        <v>0.0274526415830354</v>
      </c>
      <c r="J56" s="63" t="n">
        <f aca="false">J16/J11</f>
        <v>0.0273372364365763</v>
      </c>
      <c r="K56" s="63" t="n">
        <f aca="false">K16/K11</f>
        <v>0.0279443167949012</v>
      </c>
      <c r="M56" s="6"/>
    </row>
    <row r="57" customFormat="false" ht="15" hidden="false" customHeight="false" outlineLevel="0" collapsed="false">
      <c r="A57" s="29" t="s">
        <v>62</v>
      </c>
      <c r="B57" s="31" t="n">
        <f aca="false">H20/B20</f>
        <v>0.566609270968218</v>
      </c>
      <c r="C57" s="31" t="n">
        <f aca="false">I20/C20</f>
        <v>0.56286423936013</v>
      </c>
      <c r="D57" s="31" t="n">
        <f aca="false">J20/D20</f>
        <v>0.575147826057295</v>
      </c>
      <c r="E57" s="31" t="n">
        <f aca="false">K20/E20</f>
        <v>0.573085125764932</v>
      </c>
      <c r="G57" s="29" t="s">
        <v>11</v>
      </c>
      <c r="H57" s="71" t="n">
        <f aca="false">H17/H11</f>
        <v>0.000226182667129698</v>
      </c>
      <c r="I57" s="71" t="n">
        <f aca="false">I17/I11</f>
        <v>0.000564687913414988</v>
      </c>
      <c r="J57" s="71" t="n">
        <f aca="false">J17/J11</f>
        <v>0.000573563145163167</v>
      </c>
      <c r="K57" s="71" t="n">
        <f aca="false">K17/K11</f>
        <v>0.000564280991649936</v>
      </c>
      <c r="M57" s="6"/>
    </row>
    <row r="58" customFormat="false" ht="15" hidden="false" customHeight="false" outlineLevel="0" collapsed="false">
      <c r="A58" s="29" t="s">
        <v>63</v>
      </c>
      <c r="B58" s="30" t="n">
        <f aca="false">H11/B12</f>
        <v>8.04371737756295</v>
      </c>
      <c r="C58" s="30" t="n">
        <f aca="false">I11/C12</f>
        <v>6.97415679459565</v>
      </c>
      <c r="D58" s="30" t="n">
        <f aca="false">J11/D12</f>
        <v>6.79550739478153</v>
      </c>
      <c r="E58" s="30" t="n">
        <f aca="false">K11/E12</f>
        <v>6.38393868177949</v>
      </c>
      <c r="G58" s="29" t="s">
        <v>64</v>
      </c>
      <c r="H58" s="63" t="n">
        <f aca="false">H25/H22</f>
        <v>0.826703650459702</v>
      </c>
      <c r="I58" s="63" t="n">
        <f aca="false">I25/I22</f>
        <v>0.784851428295437</v>
      </c>
      <c r="J58" s="63" t="n">
        <f aca="false">J25/J22</f>
        <v>0</v>
      </c>
      <c r="K58" s="63" t="n">
        <f aca="false">K25/K22</f>
        <v>0</v>
      </c>
      <c r="M58" s="6"/>
    </row>
    <row r="59" customFormat="false" ht="15" hidden="false" customHeight="false" outlineLevel="0" collapsed="false">
      <c r="A59" s="29" t="s">
        <v>65</v>
      </c>
      <c r="B59" s="31" t="n">
        <f aca="false">(B22-B20)/B16</f>
        <v>0.376357532501145</v>
      </c>
      <c r="C59" s="31" t="n">
        <f aca="false">(C22-C20)/C16</f>
        <v>0.447624872976457</v>
      </c>
      <c r="D59" s="31" t="n">
        <f aca="false">(D22-D20)/D16</f>
        <v>0.46719535394923</v>
      </c>
      <c r="E59" s="31" t="n">
        <f aca="false">(E22-E20)/E16</f>
        <v>0.481891159683582</v>
      </c>
      <c r="G59" s="29" t="s">
        <v>66</v>
      </c>
      <c r="H59" s="63" t="n">
        <f aca="false">H22/H11</f>
        <v>0.129948530110685</v>
      </c>
      <c r="I59" s="63" t="n">
        <f aca="false">I22/I11</f>
        <v>0.130794916685721</v>
      </c>
      <c r="J59" s="63" t="n">
        <f aca="false">J22/J11</f>
        <v>0.124605115031169</v>
      </c>
      <c r="K59" s="63" t="n">
        <f aca="false">K22/K11</f>
        <v>0.122960172767087</v>
      </c>
      <c r="L59" s="65"/>
      <c r="M59" s="6"/>
    </row>
    <row r="60" customFormat="false" ht="15" hidden="false" customHeight="false" outlineLevel="0" collapsed="false">
      <c r="A60" s="29" t="s">
        <v>67</v>
      </c>
      <c r="B60" s="31" t="n">
        <f aca="false">(B22-B20)/B20</f>
        <v>0.603482848130184</v>
      </c>
      <c r="C60" s="31" t="n">
        <f aca="false">(C22-C20)/C20</f>
        <v>0.810363919513303</v>
      </c>
      <c r="D60" s="31" t="n">
        <f aca="false">(D22-D20)/D20</f>
        <v>0.876860510530741</v>
      </c>
      <c r="E60" s="31" t="n">
        <f aca="false">(E22-E20)/E20</f>
        <v>0.930096385518692</v>
      </c>
      <c r="G60" s="33" t="s">
        <v>68</v>
      </c>
      <c r="H60" s="34" t="n">
        <f aca="false">H13/B16</f>
        <v>0.40316641448831</v>
      </c>
      <c r="I60" s="34" t="n">
        <f aca="false">I13/C16</f>
        <v>0.360043003206151</v>
      </c>
      <c r="J60" s="34" t="n">
        <f aca="false">J13/D16</f>
        <v>0.360919486960698</v>
      </c>
      <c r="K60" s="34" t="n">
        <f aca="false">K13/E16</f>
        <v>0.350372958972746</v>
      </c>
      <c r="M60" s="6"/>
    </row>
    <row r="61" customFormat="false" ht="15" hidden="false" customHeight="false" outlineLevel="0" collapsed="false">
      <c r="A61" s="29" t="s">
        <v>69</v>
      </c>
      <c r="B61" s="30" t="n">
        <f aca="false">H11/B16</f>
        <v>2.64429662147365</v>
      </c>
      <c r="C61" s="30" t="n">
        <f aca="false">I11/C16</f>
        <v>2.31453872278691</v>
      </c>
      <c r="D61" s="30" t="n">
        <f aca="false">J11/D16</f>
        <v>2.38203062987665</v>
      </c>
      <c r="E61" s="30" t="n">
        <f aca="false">K11/E16</f>
        <v>2.33927378878564</v>
      </c>
      <c r="G61" s="33" t="s">
        <v>70</v>
      </c>
      <c r="H61" s="35" t="n">
        <f aca="false">H25/$B$5</f>
        <v>0.0524827586206897</v>
      </c>
      <c r="I61" s="35" t="n">
        <f aca="false">I25/$B$5</f>
        <v>0.0448275862068966</v>
      </c>
      <c r="J61" s="35" t="n">
        <f aca="false">J25/$B$5</f>
        <v>0</v>
      </c>
      <c r="K61" s="35" t="n">
        <f aca="false">K25/$B$5</f>
        <v>0</v>
      </c>
      <c r="M61" s="6"/>
    </row>
    <row r="62" customFormat="false" ht="15" hidden="false" customHeight="false" outlineLevel="0" collapsed="false">
      <c r="A62" s="29" t="s">
        <v>71</v>
      </c>
      <c r="B62" s="30" t="n">
        <f aca="false">B16/B20</f>
        <v>1.60348284813018</v>
      </c>
      <c r="C62" s="30" t="n">
        <f aca="false">C16/C20</f>
        <v>1.8103639195133</v>
      </c>
      <c r="D62" s="30" t="n">
        <f aca="false">D16/D20</f>
        <v>1.87686051053074</v>
      </c>
      <c r="E62" s="30" t="n">
        <f aca="false">E16/E20</f>
        <v>1.93009638551869</v>
      </c>
      <c r="G62" s="36" t="s">
        <v>72</v>
      </c>
      <c r="H62" s="37" t="n">
        <f aca="false">H22/$B$7/1000</f>
        <v>0.00920523333333333</v>
      </c>
      <c r="I62" s="37" t="n">
        <f aca="false">I22/$B$7/1000</f>
        <v>0.00828182222222222</v>
      </c>
      <c r="J62" s="37" t="n">
        <f aca="false">J22/$B$7/1000</f>
        <v>0.00725847777777778</v>
      </c>
      <c r="K62" s="37" t="n">
        <f aca="false">K22/$B$7/1000</f>
        <v>0.00633137777777778</v>
      </c>
      <c r="M62" s="6"/>
    </row>
    <row r="63" customFormat="false" ht="15" hidden="false" customHeight="false" outlineLevel="0" collapsed="false">
      <c r="A63" s="6"/>
      <c r="G63" s="36" t="s">
        <v>73</v>
      </c>
      <c r="H63" s="37" t="n">
        <f aca="false">B20/$B$7/1000</f>
        <v>0.0167066333333333</v>
      </c>
      <c r="I63" s="37" t="n">
        <f aca="false">C20/$B$7/1000</f>
        <v>0.0151114</v>
      </c>
      <c r="J63" s="37" t="n">
        <f aca="false">D20/$B$7/1000</f>
        <v>0.0130295777777778</v>
      </c>
      <c r="K63" s="37" t="n">
        <f aca="false">E20/$B$7/1000</f>
        <v>0.0114044333333333</v>
      </c>
      <c r="M63" s="6"/>
    </row>
    <row r="64" customFormat="false" ht="15" hidden="false" customHeight="false" outlineLevel="0" collapsed="false">
      <c r="A64" s="6"/>
      <c r="G64" s="33" t="s">
        <v>74</v>
      </c>
      <c r="H64" s="38" t="n">
        <f aca="false">SQRT(22.5*H62*H63)</f>
        <v>0.0588238073068634</v>
      </c>
      <c r="I64" s="38" t="n">
        <f aca="false">SQRT(22.5*I62*I63)</f>
        <v>0.0530648036592994</v>
      </c>
      <c r="J64" s="38" t="n">
        <f aca="false">SQRT(22.5*J62*J63)</f>
        <v>0.046129548740055</v>
      </c>
      <c r="K64" s="38" t="n">
        <f aca="false">SQRT(22.5*K62*K63)</f>
        <v>0.0403066986360001</v>
      </c>
      <c r="M64" s="6"/>
    </row>
    <row r="65" customFormat="false" ht="15" hidden="false" customHeight="false" outlineLevel="0" collapsed="false">
      <c r="A65" s="6"/>
      <c r="G65" s="33" t="s">
        <v>75</v>
      </c>
      <c r="H65" s="39" t="n">
        <f aca="false">H62-(B20*0.08/1000/$B$7)</f>
        <v>0.00786870266666667</v>
      </c>
      <c r="I65" s="39" t="n">
        <f aca="false">I62-(C20*0.08/1000/$B$7)</f>
        <v>0.00707291022222222</v>
      </c>
      <c r="J65" s="39" t="n">
        <f aca="false">J62-(D20*0.08/1000/$B$7)</f>
        <v>0.00621611155555555</v>
      </c>
      <c r="K65" s="39" t="n">
        <f aca="false">K62-(E20*0.08/1000/$B$7)</f>
        <v>0.00541902311111111</v>
      </c>
      <c r="M65" s="6"/>
    </row>
    <row r="66" customFormat="false" ht="15" hidden="false" customHeight="false" outlineLevel="0" collapsed="false">
      <c r="A66" s="6"/>
      <c r="G66" s="40" t="s">
        <v>76</v>
      </c>
      <c r="H66" s="41" t="n">
        <f aca="false">H25/$B$7/1000</f>
        <v>0.00761</v>
      </c>
      <c r="I66" s="41" t="n">
        <f aca="false">I25/$B$7/1000</f>
        <v>0.0065</v>
      </c>
      <c r="J66" s="41" t="n">
        <f aca="false">J25/$B$7/1000</f>
        <v>0</v>
      </c>
      <c r="K66" s="41" t="n">
        <f aca="false">K25/$B$7/1000</f>
        <v>0</v>
      </c>
      <c r="M66" s="6"/>
    </row>
    <row r="67" customFormat="false" ht="15" hidden="false" customHeight="false" outlineLevel="0" collapsed="false">
      <c r="A67" s="2"/>
      <c r="G67" s="6"/>
      <c r="M67" s="6"/>
    </row>
    <row r="68" customFormat="false" ht="15" hidden="false" customHeight="false" outlineLevel="0" collapsed="false">
      <c r="A68" s="6"/>
      <c r="G68" s="2" t="s">
        <v>85</v>
      </c>
      <c r="H68" s="74" t="n">
        <f aca="false">SUM(H66:J66)</f>
        <v>0.01411</v>
      </c>
      <c r="M68" s="6"/>
    </row>
    <row r="69" customFormat="false" ht="15" hidden="false" customHeight="false" outlineLevel="0" collapsed="false">
      <c r="A69" s="6"/>
      <c r="G69" s="2" t="s">
        <v>105</v>
      </c>
      <c r="H69" s="6" t="n">
        <f aca="false">I55/H55</f>
        <v>1.02027148357189</v>
      </c>
      <c r="I69" s="6" t="n">
        <f aca="false">J55/I55</f>
        <v>0.974031641341853</v>
      </c>
      <c r="J69" s="6" t="n">
        <f aca="false">K55/J55</f>
        <v>0.988522449225327</v>
      </c>
      <c r="M69" s="6"/>
    </row>
    <row r="70" customFormat="false" ht="15" hidden="false" customHeight="false" outlineLevel="0" collapsed="false">
      <c r="A70" s="6"/>
      <c r="G70" s="2" t="s">
        <v>106</v>
      </c>
      <c r="H70" s="6" t="n">
        <f aca="false">H11/I11</f>
        <v>1.11873800498814</v>
      </c>
      <c r="I70" s="6" t="n">
        <f aca="false">I11/J11</f>
        <v>1.08698952021739</v>
      </c>
      <c r="J70" s="6" t="n">
        <f aca="false">J11/K11</f>
        <v>1.13129513169002</v>
      </c>
      <c r="M70" s="6"/>
    </row>
    <row r="71" customFormat="false" ht="15" hidden="false" customHeight="false" outlineLevel="0" collapsed="false">
      <c r="A71" s="6"/>
      <c r="G71" s="2" t="s">
        <v>107</v>
      </c>
      <c r="H71" s="6" t="n">
        <f aca="false">(N13/152738)/(O13/140619)</f>
        <v>0.157185310816579</v>
      </c>
      <c r="I71" s="6" t="n">
        <f aca="false">(O13/I11)/(P13/J11)</f>
        <v>-8.74224558155363</v>
      </c>
      <c r="J71" s="6" t="n">
        <f aca="false">(P13/J11)/(Q13/K11)</f>
        <v>0.351192442934899</v>
      </c>
      <c r="M71" s="6"/>
    </row>
    <row r="72" customFormat="false" ht="15" hidden="false" customHeight="false" outlineLevel="0" collapsed="false">
      <c r="A72" s="6"/>
      <c r="G72" s="2" t="s">
        <v>108</v>
      </c>
      <c r="H72" s="6" t="n">
        <f aca="false">H56/I56</f>
        <v>0.924969177115304</v>
      </c>
      <c r="I72" s="6" t="n">
        <f aca="false">I56/J56</f>
        <v>1.0042215366841</v>
      </c>
      <c r="J72" s="6" t="n">
        <f aca="false">J56/K56</f>
        <v>0.97827535513641</v>
      </c>
      <c r="M72" s="6"/>
    </row>
    <row r="73" customFormat="false" ht="15" hidden="false" customHeight="false" outlineLevel="0" collapsed="false">
      <c r="A73" s="6"/>
      <c r="G73" s="2" t="s">
        <v>109</v>
      </c>
      <c r="H73" s="6" t="n">
        <f aca="false">H57/I57</f>
        <v>0.400544551700856</v>
      </c>
      <c r="I73" s="6" t="n">
        <f aca="false">I57/J57</f>
        <v>0.984526147080712</v>
      </c>
      <c r="J73" s="6" t="n">
        <f aca="false">J57/K57</f>
        <v>1.01644952364263</v>
      </c>
      <c r="M73" s="6"/>
    </row>
    <row r="74" customFormat="false" ht="15" hidden="false" customHeight="false" outlineLevel="0" collapsed="false">
      <c r="A74" s="6"/>
      <c r="G74" s="2" t="s">
        <v>110</v>
      </c>
      <c r="H74" s="6" t="n">
        <f aca="false">B62/C62</f>
        <v>0.885724041915983</v>
      </c>
      <c r="I74" s="6" t="n">
        <f aca="false">C62/D62</f>
        <v>0.964570307359371</v>
      </c>
      <c r="J74" s="6" t="n">
        <f aca="false">D62/E62</f>
        <v>0.972418022546763</v>
      </c>
      <c r="M74" s="6"/>
    </row>
    <row r="75" customFormat="false" ht="15" hidden="false" customHeight="false" outlineLevel="0" collapsed="false">
      <c r="A75" s="6"/>
      <c r="G75" s="2" t="s">
        <v>111</v>
      </c>
      <c r="H75" s="6" t="n">
        <f aca="false">((1-B11)/B16)/((1-C11)/C16)</f>
        <v>0.772136302148693</v>
      </c>
      <c r="I75" s="6" t="n">
        <f aca="false">((1-C11)/C16)/((1-D11)/D16)</f>
        <v>1.25342931912234</v>
      </c>
      <c r="J75" s="6" t="n">
        <f aca="false">((1-D11)/D16)/((1-E11)/E16)</f>
        <v>0.88971938437942</v>
      </c>
      <c r="M75" s="6"/>
    </row>
    <row r="76" customFormat="false" ht="15" hidden="false" customHeight="false" outlineLevel="0" collapsed="false">
      <c r="A76" s="6"/>
      <c r="G76" s="2" t="s">
        <v>112</v>
      </c>
      <c r="H76" s="6" t="n">
        <f aca="false">((H13-H16-H17)-N24)/B16</f>
        <v>-0.0419914292540166</v>
      </c>
      <c r="I76" s="6" t="n">
        <f aca="false">((I13-I16-I17)-O24)/C16</f>
        <v>-0.0332763098147873</v>
      </c>
      <c r="J76" s="6" t="n">
        <f aca="false">((J13-J16-J17)-P24)/D16</f>
        <v>0.0257310228481414</v>
      </c>
      <c r="K76" s="6" t="n">
        <f aca="false">((K13-K16-K17)-Q24)/E16</f>
        <v>0.00479039135326789</v>
      </c>
      <c r="M76" s="6"/>
    </row>
    <row r="77" customFormat="false" ht="15" hidden="false" customHeight="false" outlineLevel="0" collapsed="false">
      <c r="A77" s="6"/>
      <c r="G77" s="2" t="s">
        <v>113</v>
      </c>
      <c r="H77" s="6" t="n">
        <f aca="false">-4.84 + 0.92 *H71  + 0.528 *H69 + 0.404 *H75 + 0.892 *H70 + 0.115 *H73 - 0.172 *H72- 0.327 *H74 + 4.697 *H76</f>
        <v>-3.44672638413618</v>
      </c>
      <c r="I77" s="6" t="n">
        <f aca="false">-4.84 + 0.92 *I71  + 0.528 *I69 + 0.404 *I75 + 0.892 *I70 + 0.115 *I73 - 0.172 *I72- 0.327 *I74 + 4.697 *I76</f>
        <v>-11.4238160465435</v>
      </c>
      <c r="J77" s="6" t="n">
        <f aca="false">-4.84 + 0.92 *J71  + 0.528 *J69 + 0.404 *J75 + 0.892 *J70 + 0.115 *J73 - 0.172 *J72- 0.327 *J74 + 4.697 *J76</f>
        <v>-2.87489495547177</v>
      </c>
      <c r="M77" s="6"/>
    </row>
    <row r="78" customFormat="false" ht="15" hidden="false" customHeight="false" outlineLevel="0" collapsed="false">
      <c r="A78" s="6"/>
      <c r="G78" s="6"/>
      <c r="H78" s="6" t="str">
        <f aca="false">IF(H77&gt;-2.22,"CARE","Good")</f>
        <v>Good</v>
      </c>
      <c r="I78" s="6" t="str">
        <f aca="false">IF(I77&gt;-2.22,"CARE","Good")</f>
        <v>Good</v>
      </c>
      <c r="J78" s="6" t="str">
        <f aca="false">IF(J77&gt;-2.22,"CARE","Good")</f>
        <v>Good</v>
      </c>
      <c r="M78" s="6"/>
    </row>
    <row r="79" customFormat="false" ht="15" hidden="false" customHeight="false" outlineLevel="0" collapsed="false">
      <c r="A79" s="6"/>
      <c r="G79" s="2" t="s">
        <v>86</v>
      </c>
      <c r="H79" s="6" t="n">
        <f aca="false">H63*$B$7/$B$5</f>
        <v>0.00011521816091954</v>
      </c>
      <c r="I79" s="6" t="n">
        <f aca="false">I63*$B$7/$B$5</f>
        <v>0.000104216551724138</v>
      </c>
      <c r="J79" s="6" t="n">
        <f aca="false">J63*$B$7/$B$5</f>
        <v>8.98591570881226E-005</v>
      </c>
      <c r="K79" s="6" t="n">
        <f aca="false">K63*$B$7/$B$5</f>
        <v>7.86512643678161E-005</v>
      </c>
      <c r="M79" s="6"/>
    </row>
    <row r="80" customFormat="false" ht="15" hidden="false" customHeight="false" outlineLevel="0" collapsed="false">
      <c r="A80" s="6"/>
      <c r="G80" s="2" t="s">
        <v>87</v>
      </c>
      <c r="M80" s="6"/>
    </row>
    <row r="81" customFormat="false" ht="15" hidden="false" customHeight="false" outlineLevel="0" collapsed="false">
      <c r="A81" s="6"/>
      <c r="G81" s="2" t="s">
        <v>88</v>
      </c>
      <c r="M81" s="6"/>
    </row>
    <row r="82" customFormat="false" ht="15" hidden="false" customHeight="true" outlineLevel="0" collapsed="false">
      <c r="A82" s="6"/>
      <c r="G82" s="2" t="s">
        <v>89</v>
      </c>
      <c r="H82" s="75" t="n">
        <f aca="false">(H15-H16)/$B$6</f>
        <v>6.55683795441709E-005</v>
      </c>
      <c r="I82" s="75" t="n">
        <f aca="false">(I15-I16)/$B$6</f>
        <v>5.92772983521833E-005</v>
      </c>
      <c r="J82" s="75" t="n">
        <f aca="false">(J15-J16)/$B$6</f>
        <v>5.24348720704693E-005</v>
      </c>
      <c r="K82" s="75" t="n">
        <f aca="false">(K15-K16)/$B$6</f>
        <v>4.56845537523205E-005</v>
      </c>
      <c r="M82" s="6"/>
    </row>
    <row r="83" customFormat="false" ht="15" hidden="false" customHeight="true" outlineLevel="0" collapsed="false">
      <c r="A83" s="6"/>
      <c r="G83" s="2" t="s">
        <v>118</v>
      </c>
      <c r="H83" s="75" t="n">
        <f aca="false">$B$6/H20</f>
        <v>15317.6506516799</v>
      </c>
      <c r="I83" s="75" t="n">
        <f aca="false">$B$6/(I15-I16)</f>
        <v>16869.8646496795</v>
      </c>
      <c r="J83" s="75" t="n">
        <f aca="false">$B$6/(J15-J16)</f>
        <v>19071.2775775644</v>
      </c>
      <c r="K83" s="75" t="n">
        <f aca="false">$B$6/(K15-K16)</f>
        <v>21889.236467571</v>
      </c>
      <c r="M8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6" t="n">
        <v>4716.45</v>
      </c>
      <c r="C5" s="6" t="n">
        <f aca="false">H11/1000/B7</f>
        <v>134.128933333333</v>
      </c>
      <c r="D5" s="6" t="n">
        <f aca="false">104/C5</f>
        <v>0.775373347237037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6376562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45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596776</v>
      </c>
      <c r="C11" s="56" t="n">
        <v>320637</v>
      </c>
      <c r="D11" s="56" t="n">
        <v>200636</v>
      </c>
      <c r="E11" s="56" t="n">
        <v>143364</v>
      </c>
      <c r="G11" s="25" t="s">
        <v>7</v>
      </c>
      <c r="H11" s="56" t="n">
        <v>6035802</v>
      </c>
      <c r="I11" s="56" t="n">
        <v>5251902</v>
      </c>
      <c r="J11" s="56" t="n">
        <v>4579962</v>
      </c>
      <c r="K11" s="56" t="n">
        <v>4266177</v>
      </c>
      <c r="M11" s="25" t="s">
        <v>8</v>
      </c>
      <c r="N11" s="56" t="n">
        <v>230875</v>
      </c>
      <c r="O11" s="56" t="n">
        <v>214779</v>
      </c>
      <c r="P11" s="56" t="n">
        <v>192506</v>
      </c>
      <c r="Q11" s="56" t="n">
        <v>171766</v>
      </c>
    </row>
    <row r="12" customFormat="false" ht="15" hidden="false" customHeight="false" outlineLevel="0" collapsed="false">
      <c r="A12" s="25" t="s">
        <v>9</v>
      </c>
      <c r="B12" s="56" t="n">
        <v>603996</v>
      </c>
      <c r="C12" s="56" t="n">
        <v>465506</v>
      </c>
      <c r="D12" s="56" t="n">
        <v>368010</v>
      </c>
      <c r="E12" s="56" t="n">
        <v>321790</v>
      </c>
      <c r="G12" s="25" t="s">
        <v>10</v>
      </c>
      <c r="H12" s="56" t="n">
        <v>5037330</v>
      </c>
      <c r="I12" s="56" t="n">
        <v>4380775</v>
      </c>
      <c r="J12" s="56" t="n">
        <v>3808816</v>
      </c>
      <c r="K12" s="56" t="n">
        <v>3940929</v>
      </c>
      <c r="M12" s="25" t="s">
        <v>11</v>
      </c>
      <c r="N12" s="56" t="n">
        <v>129094</v>
      </c>
      <c r="O12" s="56" t="n">
        <v>102926</v>
      </c>
      <c r="P12" s="56" t="n">
        <v>91358</v>
      </c>
      <c r="Q12" s="56" t="n">
        <v>84706</v>
      </c>
    </row>
    <row r="13" customFormat="false" ht="15" hidden="false" customHeight="false" outlineLevel="0" collapsed="false">
      <c r="A13" s="25" t="s">
        <v>12</v>
      </c>
      <c r="B13" s="56" t="n">
        <v>186290</v>
      </c>
      <c r="C13" s="56" t="n">
        <v>196288</v>
      </c>
      <c r="D13" s="56" t="n">
        <v>193568</v>
      </c>
      <c r="E13" s="56" t="n">
        <v>174018</v>
      </c>
      <c r="G13" s="25" t="s">
        <v>13</v>
      </c>
      <c r="H13" s="56" t="n">
        <v>998472</v>
      </c>
      <c r="I13" s="56" t="n">
        <v>871127</v>
      </c>
      <c r="J13" s="56" t="n">
        <f aca="false">J11-J12</f>
        <v>771146</v>
      </c>
      <c r="K13" s="56" t="n">
        <f aca="false">K11-K12</f>
        <v>325248</v>
      </c>
      <c r="M13" s="25" t="s">
        <v>14</v>
      </c>
      <c r="N13" s="56" t="n">
        <v>93</v>
      </c>
      <c r="O13" s="58" t="n">
        <v>-109</v>
      </c>
      <c r="P13" s="57" t="n">
        <v>0</v>
      </c>
      <c r="Q13" s="57" t="n">
        <v>0</v>
      </c>
    </row>
    <row r="14" customFormat="false" ht="15" hidden="false" customHeight="false" outlineLevel="0" collapsed="false">
      <c r="A14" s="25" t="s">
        <v>15</v>
      </c>
      <c r="B14" s="56" t="n">
        <v>1695753</v>
      </c>
      <c r="C14" s="56" t="n">
        <v>1359676</v>
      </c>
      <c r="D14" s="56" t="n">
        <v>1224918</v>
      </c>
      <c r="E14" s="56" t="n">
        <v>1112377</v>
      </c>
      <c r="G14" s="25" t="s">
        <v>16</v>
      </c>
      <c r="H14" s="56" t="n">
        <v>95965</v>
      </c>
      <c r="I14" s="56" t="n">
        <v>77306</v>
      </c>
      <c r="J14" s="56" t="n">
        <v>83969</v>
      </c>
      <c r="K14" s="56" t="n">
        <v>31232</v>
      </c>
      <c r="M14" s="25" t="s">
        <v>9</v>
      </c>
      <c r="N14" s="58" t="n">
        <v>-94340</v>
      </c>
      <c r="O14" s="58" t="n">
        <v>-97496</v>
      </c>
      <c r="P14" s="58" t="n">
        <v>-46220</v>
      </c>
      <c r="Q14" s="58" t="n">
        <v>-10436</v>
      </c>
    </row>
    <row r="15" customFormat="false" ht="15" hidden="false" customHeight="false" outlineLevel="0" collapsed="false">
      <c r="A15" s="25" t="s">
        <v>17</v>
      </c>
      <c r="B15" s="56" t="n">
        <v>11359</v>
      </c>
      <c r="C15" s="56" t="n">
        <v>13107</v>
      </c>
      <c r="D15" s="56" t="n">
        <v>14906</v>
      </c>
      <c r="E15" s="56" t="n">
        <v>11877</v>
      </c>
      <c r="G15" s="25" t="s">
        <v>18</v>
      </c>
      <c r="H15" s="56" t="n">
        <v>1094437</v>
      </c>
      <c r="I15" s="56" t="n">
        <v>948433</v>
      </c>
      <c r="J15" s="56" t="n">
        <v>855115</v>
      </c>
      <c r="K15" s="56" t="n">
        <v>356480</v>
      </c>
      <c r="M15" s="25" t="s">
        <v>19</v>
      </c>
      <c r="N15" s="58" t="n">
        <v>-86560</v>
      </c>
      <c r="O15" s="58" t="n">
        <v>-46842</v>
      </c>
      <c r="P15" s="58" t="n">
        <v>-10420</v>
      </c>
      <c r="Q15" s="56" t="n">
        <v>25579</v>
      </c>
    </row>
    <row r="16" customFormat="false" ht="15" hidden="false" customHeight="false" outlineLevel="0" collapsed="false">
      <c r="A16" s="25" t="s">
        <v>20</v>
      </c>
      <c r="B16" s="56" t="n">
        <v>3094174</v>
      </c>
      <c r="C16" s="56" t="n">
        <v>2355214</v>
      </c>
      <c r="D16" s="56" t="n">
        <v>2002038</v>
      </c>
      <c r="E16" s="56" t="n">
        <v>1763426</v>
      </c>
      <c r="G16" s="25" t="s">
        <v>21</v>
      </c>
      <c r="H16" s="56" t="n">
        <v>730868</v>
      </c>
      <c r="I16" s="56" t="n">
        <v>625664</v>
      </c>
      <c r="J16" s="56" t="n">
        <v>565603</v>
      </c>
      <c r="K16" s="56" t="n">
        <v>164952</v>
      </c>
      <c r="M16" s="25" t="s">
        <v>22</v>
      </c>
      <c r="N16" s="56" t="n">
        <v>63513</v>
      </c>
      <c r="O16" s="56" t="n">
        <v>221150</v>
      </c>
      <c r="P16" s="56" t="n">
        <v>138286</v>
      </c>
      <c r="Q16" s="58" t="n">
        <v>-14775</v>
      </c>
    </row>
    <row r="17" customFormat="false" ht="15" hidden="false" customHeight="false" outlineLevel="0" collapsed="false">
      <c r="A17" s="25" t="s">
        <v>23</v>
      </c>
      <c r="B17" s="56" t="n">
        <v>1451977</v>
      </c>
      <c r="C17" s="56" t="n">
        <v>1219385</v>
      </c>
      <c r="D17" s="56" t="n">
        <v>1011167</v>
      </c>
      <c r="E17" s="56" t="n">
        <v>941053</v>
      </c>
      <c r="G17" s="25" t="s">
        <v>11</v>
      </c>
      <c r="H17" s="56" t="n">
        <v>129094</v>
      </c>
      <c r="I17" s="56" t="n">
        <v>102926</v>
      </c>
      <c r="J17" s="56" t="n">
        <v>92537</v>
      </c>
      <c r="K17" s="56" t="n">
        <v>15082</v>
      </c>
      <c r="M17" s="25" t="s">
        <v>24</v>
      </c>
      <c r="N17" s="58" t="n">
        <v>-26752</v>
      </c>
      <c r="O17" s="58" t="n">
        <v>-19937</v>
      </c>
      <c r="P17" s="58" t="n">
        <v>-27501</v>
      </c>
      <c r="Q17" s="58" t="n">
        <v>-29222</v>
      </c>
    </row>
    <row r="18" customFormat="false" ht="15" hidden="false" customHeight="false" outlineLevel="0" collapsed="false">
      <c r="A18" s="25" t="s">
        <v>25</v>
      </c>
      <c r="B18" s="56" t="n">
        <v>469445</v>
      </c>
      <c r="C18" s="56" t="n">
        <v>181579</v>
      </c>
      <c r="D18" s="56" t="n">
        <v>183491</v>
      </c>
      <c r="E18" s="56" t="n">
        <v>141927</v>
      </c>
      <c r="G18" s="25" t="s">
        <v>26</v>
      </c>
      <c r="H18" s="58" t="n">
        <v>-1723</v>
      </c>
      <c r="I18" s="58" t="n">
        <v>-225</v>
      </c>
      <c r="J18" s="58" t="n">
        <v>-130</v>
      </c>
      <c r="K18" s="56" t="n">
        <v>930</v>
      </c>
      <c r="M18" s="25" t="s">
        <v>27</v>
      </c>
      <c r="N18" s="58" t="n">
        <v>-424647</v>
      </c>
      <c r="O18" s="58" t="n">
        <v>-235776</v>
      </c>
      <c r="P18" s="58" t="n">
        <v>-206929</v>
      </c>
      <c r="Q18" s="58" t="n">
        <v>-112727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858239</v>
      </c>
      <c r="I19" s="56" t="n">
        <v>728365</v>
      </c>
      <c r="J19" s="56" t="n">
        <v>658010</v>
      </c>
      <c r="K19" s="56" t="n">
        <v>180964</v>
      </c>
      <c r="M19" s="25" t="s">
        <v>30</v>
      </c>
      <c r="N19" s="56" t="n">
        <v>27625</v>
      </c>
      <c r="O19" s="56" t="n">
        <v>16807</v>
      </c>
      <c r="P19" s="56" t="n">
        <v>9880</v>
      </c>
      <c r="Q19" s="58" t="n">
        <v>-25973</v>
      </c>
    </row>
    <row r="20" customFormat="false" ht="15" hidden="false" customHeight="false" outlineLevel="0" collapsed="false">
      <c r="A20" s="25" t="s">
        <v>31</v>
      </c>
      <c r="B20" s="56" t="n">
        <v>1104636</v>
      </c>
      <c r="C20" s="56" t="n">
        <v>952605</v>
      </c>
      <c r="D20" s="56" t="n">
        <v>805510</v>
      </c>
      <c r="E20" s="56" t="n">
        <v>680446</v>
      </c>
      <c r="G20" s="25" t="s">
        <v>32</v>
      </c>
      <c r="H20" s="56" t="n">
        <v>236198</v>
      </c>
      <c r="I20" s="56" t="n">
        <v>220068</v>
      </c>
      <c r="J20" s="56" t="n">
        <v>197105</v>
      </c>
      <c r="K20" s="56" t="n">
        <v>175516</v>
      </c>
      <c r="M20" s="25" t="s">
        <v>33</v>
      </c>
      <c r="N20" s="56" t="n">
        <v>372329</v>
      </c>
      <c r="O20" s="58" t="n">
        <v>-14844</v>
      </c>
      <c r="P20" s="58" t="n">
        <v>-26608</v>
      </c>
      <c r="Q20" s="58" t="n">
        <v>-46558</v>
      </c>
    </row>
    <row r="21" customFormat="false" ht="15" hidden="false" customHeight="false" outlineLevel="0" collapsed="false">
      <c r="A21" s="25" t="s">
        <v>34</v>
      </c>
      <c r="B21" s="56" t="n">
        <v>68116</v>
      </c>
      <c r="C21" s="56" t="n">
        <v>1645</v>
      </c>
      <c r="D21" s="56" t="n">
        <v>1870</v>
      </c>
      <c r="E21" s="59"/>
      <c r="G21" s="25" t="s">
        <v>35</v>
      </c>
      <c r="H21" s="56" t="n">
        <v>5323</v>
      </c>
      <c r="I21" s="56" t="n">
        <v>5289</v>
      </c>
      <c r="J21" s="56" t="n">
        <v>4600</v>
      </c>
      <c r="K21" s="56" t="n">
        <v>3750</v>
      </c>
      <c r="M21" s="25" t="s">
        <v>36</v>
      </c>
      <c r="N21" s="58" t="n">
        <v>-45699</v>
      </c>
      <c r="O21" s="58" t="n">
        <v>-67500</v>
      </c>
      <c r="P21" s="58" t="n">
        <v>-67500</v>
      </c>
      <c r="Q21" s="58" t="n">
        <v>-22500</v>
      </c>
    </row>
    <row r="22" customFormat="false" ht="15" hidden="false" customHeight="false" outlineLevel="0" collapsed="false">
      <c r="A22" s="25" t="s">
        <v>37</v>
      </c>
      <c r="B22" s="56" t="n">
        <v>3094174</v>
      </c>
      <c r="C22" s="56" t="n">
        <v>2355214</v>
      </c>
      <c r="D22" s="56" t="n">
        <v>2002038</v>
      </c>
      <c r="E22" s="56" t="n">
        <v>1763426</v>
      </c>
      <c r="G22" s="25" t="s">
        <v>8</v>
      </c>
      <c r="H22" s="56" t="n">
        <v>230875</v>
      </c>
      <c r="I22" s="56" t="n">
        <v>214779</v>
      </c>
      <c r="J22" s="56" t="n">
        <v>192505</v>
      </c>
      <c r="K22" s="56" t="n">
        <v>171766</v>
      </c>
      <c r="M22" s="25" t="s">
        <v>38</v>
      </c>
      <c r="N22" s="56" t="n">
        <v>183895</v>
      </c>
      <c r="O22" s="56" t="n">
        <v>110331</v>
      </c>
      <c r="P22" s="56" t="n">
        <v>63479</v>
      </c>
      <c r="Q22" s="56" t="n">
        <v>43619</v>
      </c>
    </row>
    <row r="23" customFormat="false" ht="15" hidden="false" customHeight="false" outlineLevel="0" collapsed="false">
      <c r="B23" s="4" t="n">
        <f aca="false">B11+B12</f>
        <v>1200772</v>
      </c>
      <c r="C23" s="4" t="n">
        <f aca="false">C11+C12</f>
        <v>786143</v>
      </c>
      <c r="D23" s="4" t="n">
        <f aca="false">D11+D12</f>
        <v>568646</v>
      </c>
      <c r="E23" s="4" t="n">
        <f aca="false">E11+E12</f>
        <v>465154</v>
      </c>
      <c r="G23" s="25" t="s">
        <v>39</v>
      </c>
      <c r="H23" s="56" t="n">
        <v>481176</v>
      </c>
      <c r="I23" s="56" t="n">
        <v>474512</v>
      </c>
      <c r="J23" s="56" t="n">
        <v>368757</v>
      </c>
      <c r="K23" s="56" t="n">
        <v>236667</v>
      </c>
      <c r="M23" s="25" t="s">
        <v>40</v>
      </c>
      <c r="N23" s="56" t="n">
        <v>329426</v>
      </c>
      <c r="O23" s="56" t="n">
        <v>183489</v>
      </c>
      <c r="P23" s="56" t="n">
        <v>110331</v>
      </c>
      <c r="Q23" s="56" t="n">
        <v>63479</v>
      </c>
    </row>
    <row r="24" customFormat="false" ht="15" hidden="false" customHeight="false" outlineLevel="0" collapsed="false">
      <c r="B24" s="6" t="n">
        <f aca="false">B16/(B22-B20)</f>
        <v>1.5552223682081</v>
      </c>
      <c r="C24" s="6" t="n">
        <f aca="false">C16/(C22-C20)</f>
        <v>1.67916646763282</v>
      </c>
      <c r="D24" s="6" t="n">
        <f aca="false">D16/(D22-D20)</f>
        <v>1.67320614310739</v>
      </c>
      <c r="E24" s="6" t="n">
        <f aca="false">E16/(E22-E20)</f>
        <v>1.62830892537258</v>
      </c>
      <c r="G24" s="25" t="s">
        <v>41</v>
      </c>
      <c r="H24" s="56" t="n">
        <v>23087</v>
      </c>
      <c r="I24" s="56" t="n">
        <v>21478</v>
      </c>
      <c r="J24" s="56" t="n">
        <v>19250</v>
      </c>
      <c r="K24" s="56" t="n">
        <v>17176</v>
      </c>
      <c r="M24" s="2" t="s">
        <v>42</v>
      </c>
      <c r="N24" s="12" t="n">
        <f aca="false">SUM(N11:N17)</f>
        <v>215923</v>
      </c>
      <c r="O24" s="12" t="n">
        <f aca="false">SUM(O11:O17)</f>
        <v>374471</v>
      </c>
      <c r="P24" s="12" t="n">
        <f aca="false">SUM(P11:P17)</f>
        <v>338009</v>
      </c>
      <c r="Q24" s="12" t="n">
        <f aca="false">SUM(Q11:Q17)</f>
        <v>227618</v>
      </c>
    </row>
    <row r="25" customFormat="false" ht="15" hidden="false" customHeight="false" outlineLevel="0" collapsed="false">
      <c r="B25" s="6" t="n">
        <f aca="false">B24/B5*1000</f>
        <v>0.329744271265061</v>
      </c>
      <c r="G25" s="25" t="s">
        <v>43</v>
      </c>
      <c r="H25" s="57"/>
      <c r="I25" s="57"/>
      <c r="J25" s="57"/>
      <c r="K25" s="57"/>
      <c r="M25" s="2" t="s">
        <v>44</v>
      </c>
      <c r="N25" s="12" t="n">
        <f aca="false">N18+N19</f>
        <v>-397022</v>
      </c>
      <c r="O25" s="12" t="n">
        <f aca="false">O18+O19</f>
        <v>-218969</v>
      </c>
      <c r="P25" s="12" t="n">
        <f aca="false">P18+P19</f>
        <v>-197049</v>
      </c>
      <c r="Q25" s="12" t="n">
        <f aca="false">Q18+Q19</f>
        <v>-138700</v>
      </c>
    </row>
    <row r="26" customFormat="false" ht="15" hidden="false" customHeight="false" outlineLevel="0" collapsed="false">
      <c r="G26" s="25" t="s">
        <v>45</v>
      </c>
      <c r="H26" s="56" t="n">
        <v>78750</v>
      </c>
      <c r="I26" s="56" t="n">
        <v>186637</v>
      </c>
      <c r="J26" s="56" t="n">
        <v>67500</v>
      </c>
      <c r="K26" s="56" t="n">
        <v>22500</v>
      </c>
      <c r="M26" s="2" t="s">
        <v>46</v>
      </c>
      <c r="N26" s="12" t="n">
        <f aca="false">N20+N21</f>
        <v>326630</v>
      </c>
      <c r="O26" s="12" t="n">
        <f aca="false">O20+O21</f>
        <v>-82344</v>
      </c>
      <c r="P26" s="12" t="n">
        <f aca="false">P20+P21</f>
        <v>-94108</v>
      </c>
      <c r="Q26" s="12" t="n">
        <f aca="false">Q20+Q21</f>
        <v>-69058</v>
      </c>
    </row>
    <row r="27" customFormat="false" ht="15" hidden="false" customHeight="false" outlineLevel="0" collapsed="false">
      <c r="G27" s="25" t="s">
        <v>47</v>
      </c>
      <c r="H27" s="56" t="n">
        <v>610214</v>
      </c>
      <c r="I27" s="56" t="n">
        <v>481176</v>
      </c>
      <c r="J27" s="56" t="n">
        <v>474512</v>
      </c>
      <c r="K27" s="56" t="n">
        <v>368757</v>
      </c>
      <c r="M27" s="2" t="s">
        <v>48</v>
      </c>
      <c r="N27" s="12" t="n">
        <f aca="false">N24+N25+N26</f>
        <v>145531</v>
      </c>
      <c r="O27" s="12" t="n">
        <f aca="false">O24+O25+O26</f>
        <v>73158</v>
      </c>
      <c r="P27" s="12" t="n">
        <f aca="false">P24+P25+P26</f>
        <v>46852</v>
      </c>
      <c r="Q27" s="12" t="n">
        <f aca="false">Q24+Q25+Q26</f>
        <v>19860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0.192870859880537</v>
      </c>
      <c r="C30" s="24" t="n">
        <f aca="false">C11/C$16</f>
        <v>0.136139221319167</v>
      </c>
      <c r="D30" s="24" t="n">
        <f aca="false">D11/D$16</f>
        <v>0.100215880018261</v>
      </c>
      <c r="E30" s="24" t="n">
        <f aca="false">E11/E$16</f>
        <v>0.0812985631378918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0.0382509234066989</v>
      </c>
      <c r="O30" s="26" t="n">
        <f aca="false">O11/I$11</f>
        <v>0.0408954698697729</v>
      </c>
      <c r="P30" s="26" t="n">
        <f aca="false">P11/J$11</f>
        <v>0.0420322264682545</v>
      </c>
      <c r="Q30" s="26" t="n">
        <f aca="false">Q11/K$11</f>
        <v>0.040262276975381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0.195204277458217</v>
      </c>
      <c r="C31" s="24" t="n">
        <f aca="false">C12/C$16</f>
        <v>0.197649130822082</v>
      </c>
      <c r="D31" s="24" t="n">
        <f aca="false">D12/D$16</f>
        <v>0.18381768977412</v>
      </c>
      <c r="E31" s="24" t="n">
        <f aca="false">E12/E$16</f>
        <v>0.182480013337673</v>
      </c>
      <c r="F31" s="6"/>
      <c r="G31" s="25" t="s">
        <v>10</v>
      </c>
      <c r="H31" s="24" t="n">
        <f aca="false">H12/H$11</f>
        <v>0.834575090435372</v>
      </c>
      <c r="I31" s="24" t="n">
        <f aca="false">I12/I$11</f>
        <v>0.834131139537638</v>
      </c>
      <c r="J31" s="24" t="n">
        <f aca="false">J12/J$11</f>
        <v>0.831626113928456</v>
      </c>
      <c r="K31" s="24" t="n">
        <f aca="false">K12/K$11</f>
        <v>0.923761250412254</v>
      </c>
      <c r="L31" s="6"/>
      <c r="M31" s="25" t="s">
        <v>11</v>
      </c>
      <c r="N31" s="26" t="n">
        <f aca="false">N12/H$11</f>
        <v>0.0213880442068842</v>
      </c>
      <c r="O31" s="26" t="n">
        <f aca="false">O12/I$11</f>
        <v>0.019597852359012</v>
      </c>
      <c r="P31" s="26" t="n">
        <f aca="false">P12/J$11</f>
        <v>0.0199473270738928</v>
      </c>
      <c r="Q31" s="26" t="n">
        <f aca="false">Q12/K$11</f>
        <v>0.0198552474498831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0.0602066981365625</v>
      </c>
      <c r="C32" s="24" t="n">
        <f aca="false">C13/C$16</f>
        <v>0.0833418958956596</v>
      </c>
      <c r="D32" s="24" t="n">
        <f aca="false">D13/D$16</f>
        <v>0.0966854774984291</v>
      </c>
      <c r="E32" s="24" t="n">
        <f aca="false">E13/E$16</f>
        <v>0.098681770598823</v>
      </c>
      <c r="F32" s="6"/>
      <c r="G32" s="25" t="s">
        <v>13</v>
      </c>
      <c r="H32" s="24" t="n">
        <f aca="false">H13/H$11</f>
        <v>0.165424909564628</v>
      </c>
      <c r="I32" s="24" t="n">
        <f aca="false">I13/I$11</f>
        <v>0.165868860462362</v>
      </c>
      <c r="J32" s="24" t="n">
        <f aca="false">J13/J$11</f>
        <v>0.168373886071544</v>
      </c>
      <c r="K32" s="24" t="n">
        <f aca="false">K13/K$11</f>
        <v>0.0762387495877457</v>
      </c>
      <c r="L32" s="6"/>
      <c r="M32" s="25" t="s">
        <v>14</v>
      </c>
      <c r="N32" s="26" t="n">
        <f aca="false">N13/H$11</f>
        <v>1.54080601053514E-005</v>
      </c>
      <c r="O32" s="26" t="n">
        <f aca="false">O13/I$11</f>
        <v>-2.07543857444408E-005</v>
      </c>
      <c r="P32" s="26" t="n">
        <f aca="false">P13/J$11</f>
        <v>0</v>
      </c>
      <c r="Q32" s="26" t="n">
        <f aca="false">Q13/K$11</f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0.548047071690215</v>
      </c>
      <c r="C33" s="24" t="n">
        <f aca="false">C14/C$16</f>
        <v>0.577304652570849</v>
      </c>
      <c r="D33" s="24" t="n">
        <f aca="false">D14/D$16</f>
        <v>0.611835539585163</v>
      </c>
      <c r="E33" s="24" t="n">
        <f aca="false">E14/E$16</f>
        <v>0.630804468120579</v>
      </c>
      <c r="F33" s="6"/>
      <c r="G33" s="25" t="s">
        <v>16</v>
      </c>
      <c r="H33" s="24" t="n">
        <f aca="false">H14/H$11</f>
        <v>0.0158992955700005</v>
      </c>
      <c r="I33" s="24" t="n">
        <f aca="false">I14/I$11</f>
        <v>0.0147196196730251</v>
      </c>
      <c r="J33" s="24" t="n">
        <f aca="false">J14/J$11</f>
        <v>0.0183339949108748</v>
      </c>
      <c r="K33" s="24" t="n">
        <f aca="false">K14/K$11</f>
        <v>0.00732084018079887</v>
      </c>
      <c r="L33" s="6"/>
      <c r="M33" s="25" t="s">
        <v>9</v>
      </c>
      <c r="N33" s="26" t="n">
        <f aca="false">N14/H$11</f>
        <v>-0.0156300687133209</v>
      </c>
      <c r="O33" s="26" t="n">
        <f aca="false">O14/I$11</f>
        <v>-0.0185639412159633</v>
      </c>
      <c r="P33" s="26" t="n">
        <f aca="false">P14/J$11</f>
        <v>-0.0100917867877506</v>
      </c>
      <c r="Q33" s="26" t="n">
        <f aca="false">Q14/K$11</f>
        <v>-0.0024462182417654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0.00367109283446891</v>
      </c>
      <c r="C34" s="24" t="n">
        <f aca="false">C15/C$16</f>
        <v>0.00556509939224206</v>
      </c>
      <c r="D34" s="24" t="n">
        <f aca="false">D15/D$16</f>
        <v>0.00744541312402662</v>
      </c>
      <c r="E34" s="24" t="n">
        <f aca="false">E15/E$16</f>
        <v>0.00673518480503293</v>
      </c>
      <c r="F34" s="6"/>
      <c r="G34" s="25" t="s">
        <v>18</v>
      </c>
      <c r="H34" s="24" t="n">
        <f aca="false">H15/H$11</f>
        <v>0.181324205134628</v>
      </c>
      <c r="I34" s="24" t="n">
        <f aca="false">I15/I$11</f>
        <v>0.180588480135387</v>
      </c>
      <c r="J34" s="24" t="n">
        <f aca="false">J15/J$11</f>
        <v>0.186707880982419</v>
      </c>
      <c r="K34" s="24" t="n">
        <f aca="false">K15/K$11</f>
        <v>0.0835595897685445</v>
      </c>
      <c r="L34" s="6"/>
      <c r="M34" s="25" t="s">
        <v>19</v>
      </c>
      <c r="N34" s="26" t="n">
        <f aca="false">N15/H$11</f>
        <v>-0.0143410933625722</v>
      </c>
      <c r="O34" s="26" t="n">
        <f aca="false">O15/I$11</f>
        <v>-0.00891905446826693</v>
      </c>
      <c r="P34" s="26" t="n">
        <f aca="false">P15/J$11</f>
        <v>-0.00227512804691393</v>
      </c>
      <c r="Q34" s="26" t="n">
        <f aca="false">Q15/K$11</f>
        <v>0.00599576623285907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0.121088796484709</v>
      </c>
      <c r="I35" s="24" t="n">
        <f aca="false">I16/I$11</f>
        <v>0.119130935801925</v>
      </c>
      <c r="J35" s="24" t="n">
        <f aca="false">J16/J$11</f>
        <v>0.123495129435572</v>
      </c>
      <c r="K35" s="24" t="n">
        <f aca="false">K16/K$11</f>
        <v>0.0386650624200543</v>
      </c>
      <c r="L35" s="6"/>
      <c r="M35" s="25" t="s">
        <v>22</v>
      </c>
      <c r="N35" s="26" t="n">
        <f aca="false">N16/H$11</f>
        <v>0.0105227109835611</v>
      </c>
      <c r="O35" s="26" t="n">
        <f aca="false">O16/I$11</f>
        <v>0.042108554196175</v>
      </c>
      <c r="P35" s="26" t="n">
        <f aca="false">P16/J$11</f>
        <v>0.0301937002970767</v>
      </c>
      <c r="Q35" s="26" t="n">
        <f aca="false">Q16/K$11</f>
        <v>-0.00346328809142237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0.469261586452475</v>
      </c>
      <c r="C36" s="24" t="n">
        <f aca="false">C17/C$16</f>
        <v>0.517738515480971</v>
      </c>
      <c r="D36" s="24" t="n">
        <f aca="false">D17/D$16</f>
        <v>0.50506883485728</v>
      </c>
      <c r="E36" s="24" t="n">
        <f aca="false">E17/E$16</f>
        <v>0.533650405517442</v>
      </c>
      <c r="F36" s="6"/>
      <c r="G36" s="25" t="s">
        <v>11</v>
      </c>
      <c r="H36" s="24" t="n">
        <f aca="false">H17/H$11</f>
        <v>0.0213880442068842</v>
      </c>
      <c r="I36" s="24" t="n">
        <f aca="false">I17/I$11</f>
        <v>0.019597852359012</v>
      </c>
      <c r="J36" s="24" t="n">
        <f aca="false">J17/J$11</f>
        <v>0.0202047527905253</v>
      </c>
      <c r="K36" s="24" t="n">
        <f aca="false">K17/K$11</f>
        <v>0.00353524947511554</v>
      </c>
      <c r="L36" s="6"/>
      <c r="M36" s="25" t="s">
        <v>24</v>
      </c>
      <c r="N36" s="26" t="n">
        <f aca="false">N17/H$11</f>
        <v>-0.00443221961224043</v>
      </c>
      <c r="O36" s="26" t="n">
        <f aca="false">O17/I$11</f>
        <v>-0.00379614851914602</v>
      </c>
      <c r="P36" s="26" t="n">
        <f aca="false">P17/J$11</f>
        <v>-0.00600463497295392</v>
      </c>
      <c r="Q36" s="26" t="n">
        <f aca="false">Q17/K$11</f>
        <v>-0.00684969235922466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0.151719004813563</v>
      </c>
      <c r="C37" s="24" t="n">
        <f aca="false">C18/C$16</f>
        <v>0.0770966035358146</v>
      </c>
      <c r="D37" s="24" t="n">
        <f aca="false">D18/D$16</f>
        <v>0.091652106503473</v>
      </c>
      <c r="E37" s="24" t="n">
        <f aca="false">E18/E$16</f>
        <v>0.0804836721246029</v>
      </c>
      <c r="F37" s="6"/>
      <c r="G37" s="25" t="s">
        <v>26</v>
      </c>
      <c r="H37" s="24" t="n">
        <f aca="false">H18/H$11</f>
        <v>-0.000285463307113123</v>
      </c>
      <c r="I37" s="24" t="n">
        <f aca="false">I18/I$11</f>
        <v>-4.28416219495337E-005</v>
      </c>
      <c r="J37" s="24" t="n">
        <f aca="false">J18/J$11</f>
        <v>-2.8384514980692E-005</v>
      </c>
      <c r="K37" s="24" t="n">
        <f aca="false">K18/K$11</f>
        <v>0.000217993768191053</v>
      </c>
      <c r="L37" s="6"/>
      <c r="M37" s="25" t="s">
        <v>27</v>
      </c>
      <c r="N37" s="26" t="n">
        <f aca="false">N18/H$11</f>
        <v>-0.0703546935436252</v>
      </c>
      <c r="O37" s="26" t="n">
        <f aca="false">O18/I$11</f>
        <v>-0.0448934500301034</v>
      </c>
      <c r="P37" s="26" t="n">
        <f aca="false">P18/J$11</f>
        <v>-0.0451813792341509</v>
      </c>
      <c r="Q37" s="26" t="n">
        <f aca="false">Q18/K$11</f>
        <v>-0.0264234231256697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0.14219137738448</v>
      </c>
      <c r="I38" s="24" t="n">
        <f aca="false">I19/I$11</f>
        <v>0.138685946538987</v>
      </c>
      <c r="J38" s="24" t="n">
        <f aca="false">J19/J$11</f>
        <v>0.143671497711116</v>
      </c>
      <c r="K38" s="24" t="n">
        <f aca="false">K19/K$11</f>
        <v>0.0424183056633609</v>
      </c>
      <c r="L38" s="6"/>
      <c r="M38" s="25" t="s">
        <v>30</v>
      </c>
      <c r="N38" s="26" t="n">
        <f aca="false">N19/H$11</f>
        <v>0.00457685656355195</v>
      </c>
      <c r="O38" s="26" t="n">
        <f aca="false">O19/I$11</f>
        <v>0.00320017395602584</v>
      </c>
      <c r="P38" s="26" t="n">
        <f aca="false">P19/J$11</f>
        <v>0.00215722313853259</v>
      </c>
      <c r="Q38" s="26" t="n">
        <f aca="false">Q19/K$11</f>
        <v>-0.00608812058196367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0.357005132872295</v>
      </c>
      <c r="C39" s="24" t="n">
        <f aca="false">C20/C$16</f>
        <v>0.404466430651312</v>
      </c>
      <c r="D39" s="24" t="n">
        <f aca="false">D20/D$16</f>
        <v>0.402345010434367</v>
      </c>
      <c r="E39" s="24" t="n">
        <f aca="false">E20/E$16</f>
        <v>0.385865922357955</v>
      </c>
      <c r="F39" s="6"/>
      <c r="G39" s="25" t="s">
        <v>32</v>
      </c>
      <c r="H39" s="24" t="n">
        <f aca="false">H20/H$11</f>
        <v>0.0391328277501482</v>
      </c>
      <c r="I39" s="24" t="n">
        <f aca="false">I20/I$11</f>
        <v>0.0419025335963999</v>
      </c>
      <c r="J39" s="24" t="n">
        <f aca="false">J20/J$11</f>
        <v>0.0430363832713022</v>
      </c>
      <c r="K39" s="24" t="n">
        <f aca="false">K20/K$11</f>
        <v>0.0411412841051836</v>
      </c>
      <c r="L39" s="6"/>
      <c r="M39" s="25" t="s">
        <v>33</v>
      </c>
      <c r="N39" s="26" t="n">
        <f aca="false">N20/H$11</f>
        <v>0.061686748505004</v>
      </c>
      <c r="O39" s="26" t="n">
        <f aca="false">O20/I$11</f>
        <v>-0.00282640460541724</v>
      </c>
      <c r="P39" s="26" t="n">
        <f aca="false">P20/J$11</f>
        <v>-0.00580965518927886</v>
      </c>
      <c r="Q39" s="26" t="n">
        <f aca="false">Q20/K$11</f>
        <v>-0.0109132837198269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0.0220142758616678</v>
      </c>
      <c r="C40" s="24" t="n">
        <f aca="false">C21/C$16</f>
        <v>0.000698450331901899</v>
      </c>
      <c r="D40" s="24" t="n">
        <f aca="false">D21/D$16</f>
        <v>0.000934048204879228</v>
      </c>
      <c r="E40" s="24" t="n">
        <f aca="false">E21/E$16</f>
        <v>0</v>
      </c>
      <c r="F40" s="6"/>
      <c r="G40" s="25" t="s">
        <v>35</v>
      </c>
      <c r="H40" s="24" t="n">
        <f aca="false">H21/H$11</f>
        <v>0.000881904343449305</v>
      </c>
      <c r="I40" s="24" t="n">
        <f aca="false">I21/I$11</f>
        <v>0.00100706372662704</v>
      </c>
      <c r="J40" s="24" t="n">
        <f aca="false">J21/J$11</f>
        <v>0.00100437514547064</v>
      </c>
      <c r="K40" s="24" t="n">
        <f aca="false">K21/K$11</f>
        <v>0.000879007129802631</v>
      </c>
      <c r="L40" s="6"/>
      <c r="M40" s="25" t="s">
        <v>36</v>
      </c>
      <c r="N40" s="26" t="n">
        <f aca="false">N21/H$11</f>
        <v>-0.00757132192209088</v>
      </c>
      <c r="O40" s="26" t="n">
        <f aca="false">O21/I$11</f>
        <v>-0.0128524865848601</v>
      </c>
      <c r="P40" s="26" t="n">
        <f aca="false">P21/J$11</f>
        <v>-0.014738113547667</v>
      </c>
      <c r="Q40" s="26" t="n">
        <f aca="false">Q21/K$11</f>
        <v>-0.00527404277881579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0.0382509234066989</v>
      </c>
      <c r="I41" s="24" t="n">
        <f aca="false">I22/I$11</f>
        <v>0.0408954698697729</v>
      </c>
      <c r="J41" s="24" t="n">
        <f aca="false">J22/J$11</f>
        <v>0.0420320081258316</v>
      </c>
      <c r="K41" s="24" t="n">
        <f aca="false">K22/K$11</f>
        <v>0.040262276975381</v>
      </c>
      <c r="L41" s="6"/>
      <c r="M41" s="25" t="s">
        <v>38</v>
      </c>
      <c r="N41" s="26" t="n">
        <f aca="false">N22/H$11</f>
        <v>0.0304673678825117</v>
      </c>
      <c r="O41" s="26" t="n">
        <f aca="false">O22/I$11</f>
        <v>0.0210078177391734</v>
      </c>
      <c r="P41" s="26" t="n">
        <f aca="false">P22/J$11</f>
        <v>0.0138601586650719</v>
      </c>
      <c r="Q41" s="26" t="n">
        <f aca="false">Q22/K$11</f>
        <v>0.0102243765319629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0.0797203089166941</v>
      </c>
      <c r="I42" s="24" t="n">
        <f aca="false">I23/I$11</f>
        <v>0.090350505397854</v>
      </c>
      <c r="J42" s="24" t="n">
        <f aca="false">J23/J$11</f>
        <v>0.0805152968518079</v>
      </c>
      <c r="K42" s="24" t="n">
        <f aca="false">K23/K$11</f>
        <v>0.0554751947703998</v>
      </c>
      <c r="L42" s="6"/>
      <c r="M42" s="25" t="s">
        <v>40</v>
      </c>
      <c r="N42" s="26" t="n">
        <f aca="false">N23/H$11</f>
        <v>0.0545786624544675</v>
      </c>
      <c r="O42" s="26" t="n">
        <f aca="false">O23/I$11</f>
        <v>0.0349376283106577</v>
      </c>
      <c r="P42" s="26" t="n">
        <f aca="false">P23/J$11</f>
        <v>0.0240899378641133</v>
      </c>
      <c r="Q42" s="26" t="n">
        <f aca="false">Q23/K$11</f>
        <v>0.0148795982913977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0.00382500950163706</v>
      </c>
      <c r="I43" s="24" t="n">
        <f aca="false">I24/I$11</f>
        <v>0.00408956602769816</v>
      </c>
      <c r="J43" s="24" t="n">
        <f aca="false">J24/J$11</f>
        <v>0.0042030916413717</v>
      </c>
      <c r="K43" s="24" t="n">
        <f aca="false">K24/K$11</f>
        <v>0.00402608705639733</v>
      </c>
      <c r="L43" s="6"/>
      <c r="M43" s="2" t="s">
        <v>49</v>
      </c>
      <c r="N43" s="26" t="n">
        <f aca="false">N24/H11</f>
        <v>0.035773704969116</v>
      </c>
      <c r="O43" s="26" t="n">
        <f aca="false">O24/I11</f>
        <v>0.0713019778358393</v>
      </c>
      <c r="P43" s="26" t="n">
        <f aca="false">P24/J11</f>
        <v>0.0738017040316055</v>
      </c>
      <c r="Q43" s="26" t="n">
        <f aca="false">Q24/K11</f>
        <v>0.0533540919657108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0.0697837290339845</v>
      </c>
      <c r="O44" s="26" t="n">
        <f aca="false">O24/C16</f>
        <v>0.158996592241724</v>
      </c>
      <c r="P44" s="26" t="n">
        <f aca="false">P24/D16</f>
        <v>0.168832459723542</v>
      </c>
      <c r="Q44" s="26" t="n">
        <f aca="false">Q24/E16</f>
        <v>0.129077148686704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0.013047147669854</v>
      </c>
      <c r="I45" s="24" t="n">
        <f aca="false">I26/I$11</f>
        <v>0.0355370302035339</v>
      </c>
      <c r="J45" s="24" t="n">
        <f aca="false">J26/J$11</f>
        <v>0.014738113547667</v>
      </c>
      <c r="K45" s="24" t="n">
        <f aca="false">K26/K$11</f>
        <v>0.00527404277881579</v>
      </c>
      <c r="L45" s="6"/>
      <c r="M45" s="2" t="s">
        <v>51</v>
      </c>
      <c r="N45" s="26" t="n">
        <f aca="false">N24/B20</f>
        <v>0.195469819922581</v>
      </c>
      <c r="O45" s="26" t="n">
        <f aca="false">O24/C20</f>
        <v>0.393102072737388</v>
      </c>
      <c r="P45" s="26" t="n">
        <f aca="false">P24/D20</f>
        <v>0.419621109607578</v>
      </c>
      <c r="Q45" s="26" t="n">
        <f aca="false">Q24/E20</f>
        <v>0.334512951799261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0.101099075151902</v>
      </c>
      <c r="I46" s="24" t="n">
        <f aca="false">I27/I$11</f>
        <v>0.0916193790363948</v>
      </c>
      <c r="J46" s="24" t="n">
        <f aca="false">J27/J$11</f>
        <v>0.103606099788601</v>
      </c>
      <c r="K46" s="24" t="n">
        <f aca="false">K27/K$11</f>
        <v>0.0864373419105677</v>
      </c>
      <c r="L46" s="6"/>
      <c r="M46" s="2" t="s">
        <v>52</v>
      </c>
      <c r="N46" s="26" t="n">
        <f aca="false">N24/H22</f>
        <v>0.935237682728749</v>
      </c>
      <c r="O46" s="26" t="n">
        <f aca="false">O24/I22</f>
        <v>1.74351775546026</v>
      </c>
      <c r="P46" s="26" t="n">
        <f aca="false">P24/J22</f>
        <v>1.75584530271941</v>
      </c>
      <c r="Q46" s="26" t="n">
        <f aca="false">Q24/K22</f>
        <v>1.32516330356415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0.108529216330625</v>
      </c>
      <c r="O47" s="26" t="n">
        <f aca="false">O24/(C22-C20)</f>
        <v>0.266981746160191</v>
      </c>
      <c r="P47" s="26" t="n">
        <f aca="false">P24/(D22-D20)</f>
        <v>0.282491508765361</v>
      </c>
      <c r="Q47" s="26" t="n">
        <f aca="false">Q24/(E22-E20)</f>
        <v>0.210177473268204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G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</row>
    <row r="49" customFormat="false" ht="15" hidden="false" customHeight="false" outlineLevel="0" collapsed="false">
      <c r="G49" s="6"/>
      <c r="M49" s="2" t="s">
        <v>55</v>
      </c>
      <c r="N49" s="26" t="n">
        <f aca="false">N24/N18</f>
        <v>-0.508476452206185</v>
      </c>
      <c r="O49" s="26" t="n">
        <f aca="false">O24/O18</f>
        <v>-1.5882490160152</v>
      </c>
      <c r="P49" s="26" t="n">
        <f aca="false">P24/P18</f>
        <v>-1.6334539866331</v>
      </c>
      <c r="Q49" s="26" t="n">
        <f aca="false">Q24/Q18</f>
        <v>-2.01919682063747</v>
      </c>
    </row>
    <row r="50" customFormat="false" ht="15" hidden="false" customHeight="false" outlineLevel="0" collapsed="false">
      <c r="G50" s="2" t="s">
        <v>56</v>
      </c>
      <c r="H50" s="28" t="n">
        <f aca="false">LN(H22/I22)</f>
        <v>0.0722668460271676</v>
      </c>
      <c r="I50" s="28" t="n">
        <f aca="false">LN(I22/J22)</f>
        <v>0.109487465075743</v>
      </c>
      <c r="J50" s="28" t="n">
        <f aca="false">LN(J22/K22)</f>
        <v>0.113989041992189</v>
      </c>
      <c r="M50" s="6"/>
    </row>
    <row r="51" customFormat="false" ht="15" hidden="false" customHeight="false" outlineLevel="0" collapsed="false">
      <c r="A51" s="29" t="s">
        <v>57</v>
      </c>
      <c r="B51" s="30" t="n">
        <f aca="false">B11/B17</f>
        <v>0.41100926529828</v>
      </c>
      <c r="C51" s="30" t="n">
        <f aca="false">C11/C17</f>
        <v>0.262949765660558</v>
      </c>
      <c r="D51" s="30" t="n">
        <f aca="false">D11/D17</f>
        <v>0.198420241166889</v>
      </c>
      <c r="E51" s="30" t="n">
        <f aca="false">E11/E17</f>
        <v>0.152344235659416</v>
      </c>
      <c r="G51" s="29" t="s">
        <v>58</v>
      </c>
      <c r="H51" s="63" t="n">
        <f aca="false">H13/H11</f>
        <v>0.165424909564628</v>
      </c>
      <c r="I51" s="63" t="n">
        <f aca="false">I13/I11</f>
        <v>0.165868860462362</v>
      </c>
      <c r="J51" s="63" t="n">
        <f aca="false">J13/J11</f>
        <v>0.168373886071544</v>
      </c>
      <c r="K51" s="63" t="n">
        <f aca="false">K13/K11</f>
        <v>0.0762387495877457</v>
      </c>
      <c r="M51" s="6"/>
    </row>
    <row r="52" customFormat="false" ht="15" hidden="false" customHeight="false" outlineLevel="0" collapsed="false">
      <c r="A52" s="29" t="s">
        <v>60</v>
      </c>
      <c r="B52" s="31" t="n">
        <f aca="false">H20/B16</f>
        <v>0.0763363663452669</v>
      </c>
      <c r="C52" s="31" t="n">
        <f aca="false">I20/C16</f>
        <v>0.0934386429428494</v>
      </c>
      <c r="D52" s="31" t="n">
        <f aca="false">J20/D16</f>
        <v>0.0984521772314012</v>
      </c>
      <c r="E52" s="31" t="n">
        <f aca="false">K20/E16</f>
        <v>0.0995312533670253</v>
      </c>
      <c r="F52" s="31"/>
      <c r="G52" s="29" t="s">
        <v>61</v>
      </c>
      <c r="H52" s="63" t="n">
        <f aca="false">H16/H11</f>
        <v>0.121088796484709</v>
      </c>
      <c r="I52" s="63" t="n">
        <f aca="false">I16/I11</f>
        <v>0.119130935801925</v>
      </c>
      <c r="J52" s="63" t="n">
        <f aca="false">J16/J11</f>
        <v>0.123495129435572</v>
      </c>
      <c r="K52" s="63" t="n">
        <f aca="false">K16/K11</f>
        <v>0.0386650624200543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0.213824282388045</v>
      </c>
      <c r="C53" s="31" t="n">
        <f aca="false">I20/C20</f>
        <v>0.231017053238226</v>
      </c>
      <c r="D53" s="31" t="n">
        <f aca="false">J20/D20</f>
        <v>0.244695906940944</v>
      </c>
      <c r="E53" s="31" t="n">
        <f aca="false">K20/E20</f>
        <v>0.257942584716495</v>
      </c>
      <c r="G53" s="29" t="s">
        <v>11</v>
      </c>
      <c r="H53" s="63" t="n">
        <f aca="false">H17/H11</f>
        <v>0.0213880442068842</v>
      </c>
      <c r="I53" s="63" t="n">
        <f aca="false">I17/I11</f>
        <v>0.019597852359012</v>
      </c>
      <c r="J53" s="63" t="n">
        <f aca="false">J17/J11</f>
        <v>0.0202047527905253</v>
      </c>
      <c r="K53" s="63" t="n">
        <f aca="false">K17/K11</f>
        <v>0.00353524947511554</v>
      </c>
      <c r="L53" s="31"/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9.99311584844933</v>
      </c>
      <c r="C54" s="30" t="n">
        <f aca="false">I11/C12</f>
        <v>11.2821359982471</v>
      </c>
      <c r="D54" s="30" t="n">
        <f aca="false">J11/D12</f>
        <v>12.4452107279694</v>
      </c>
      <c r="E54" s="30" t="n">
        <f aca="false">K11/E12</f>
        <v>13.2576431834426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0.642994867127705</v>
      </c>
      <c r="C55" s="31" t="n">
        <f aca="false">(C22-C20)/C16</f>
        <v>0.595533569348688</v>
      </c>
      <c r="D55" s="31" t="n">
        <f aca="false">(D22-D20)/D16</f>
        <v>0.597654989565633</v>
      </c>
      <c r="E55" s="31" t="n">
        <f aca="false">(E22-E20)/E16</f>
        <v>0.614134077642045</v>
      </c>
      <c r="G55" s="29" t="s">
        <v>66</v>
      </c>
      <c r="H55" s="63" t="n">
        <f aca="false">H22/H11</f>
        <v>0.0382509234066989</v>
      </c>
      <c r="I55" s="63" t="n">
        <f aca="false">I22/I11</f>
        <v>0.0408954698697729</v>
      </c>
      <c r="J55" s="63" t="n">
        <f aca="false">J22/J11</f>
        <v>0.0420320081258316</v>
      </c>
      <c r="K55" s="63" t="n">
        <f aca="false">K22/K11</f>
        <v>0.040262276975381</v>
      </c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1.80108017482682</v>
      </c>
      <c r="C56" s="31" t="n">
        <f aca="false">(C22-C20)/C20</f>
        <v>1.47239306953039</v>
      </c>
      <c r="D56" s="31" t="n">
        <f aca="false">(D22-D20)/D20</f>
        <v>1.48542910702536</v>
      </c>
      <c r="E56" s="31" t="n">
        <f aca="false">(E22-E20)/E20</f>
        <v>1.59157376191498</v>
      </c>
      <c r="G56" s="33" t="s">
        <v>68</v>
      </c>
      <c r="H56" s="34" t="n">
        <f aca="false">H13/B16</f>
        <v>0.322694198839496</v>
      </c>
      <c r="I56" s="34" t="n">
        <f aca="false">I13/C16</f>
        <v>0.369871697433864</v>
      </c>
      <c r="J56" s="34" t="n">
        <f aca="false">J13/D16</f>
        <v>0.38518050106941</v>
      </c>
      <c r="K56" s="34" t="n">
        <f aca="false">K13/E16</f>
        <v>0.184440968886701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1.9506989587528</v>
      </c>
      <c r="C57" s="30" t="n">
        <f aca="false">I11/C16</f>
        <v>2.22990437387006</v>
      </c>
      <c r="D57" s="30" t="n">
        <f aca="false">J11/D16</f>
        <v>2.28764988476742</v>
      </c>
      <c r="E57" s="30" t="n">
        <f aca="false">K11/E16</f>
        <v>2.41925490494072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L57" s="65"/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2.80108017482682</v>
      </c>
      <c r="C58" s="30" t="n">
        <f aca="false">C16/C20</f>
        <v>2.47239306953039</v>
      </c>
      <c r="D58" s="30" t="n">
        <f aca="false">D16/D20</f>
        <v>2.48542910702536</v>
      </c>
      <c r="E58" s="30" t="n">
        <f aca="false">E16/E20</f>
        <v>2.59157376191498</v>
      </c>
      <c r="G58" s="36" t="s">
        <v>72</v>
      </c>
      <c r="H58" s="37" t="n">
        <f aca="false">H22/$B$7/1000</f>
        <v>5.13055555555556</v>
      </c>
      <c r="I58" s="37" t="n">
        <f aca="false">I22/$B$7/1000</f>
        <v>4.77286666666667</v>
      </c>
      <c r="J58" s="37" t="n">
        <f aca="false">J22/$B$7/1000</f>
        <v>4.27788888888889</v>
      </c>
      <c r="K58" s="37" t="n">
        <f aca="false">K22/$B$7/1000</f>
        <v>3.81702222222222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24.5474666666667</v>
      </c>
      <c r="I59" s="37" t="n">
        <f aca="false">C20/$B$7/1000</f>
        <v>21.169</v>
      </c>
      <c r="J59" s="37" t="n">
        <f aca="false">D20/$B$7/1000</f>
        <v>17.9002222222222</v>
      </c>
      <c r="K59" s="37" t="n">
        <f aca="false">E20/$B$7/1000</f>
        <v>15.1210222222222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53.2324918009042</v>
      </c>
      <c r="I60" s="38" t="n">
        <f aca="false">SQRT(22.5*I58*I59)</f>
        <v>47.6794329402102</v>
      </c>
      <c r="J60" s="38" t="n">
        <f aca="false">SQRT(22.5*J58*J59)</f>
        <v>41.5083261460209</v>
      </c>
      <c r="K60" s="38" t="n">
        <f aca="false">SQRT(22.5*K58*K59)</f>
        <v>36.0366306903283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3.16675822222222</v>
      </c>
      <c r="I61" s="39" t="n">
        <f aca="false">I58-(C20*0.08/1000/$B$7)</f>
        <v>3.07934666666667</v>
      </c>
      <c r="J61" s="39" t="n">
        <f aca="false">J58-(D20*0.08/1000/$B$7)</f>
        <v>2.84587111111111</v>
      </c>
      <c r="K61" s="39" t="n">
        <f aca="false">K58-(E20*0.08/1000/$B$7)</f>
        <v>2.60734044444444</v>
      </c>
      <c r="M61" s="6"/>
    </row>
    <row r="62" customFormat="false" ht="15" hidden="false" customHeight="false" outlineLevel="0" collapsed="false">
      <c r="G62" s="40" t="s">
        <v>76</v>
      </c>
      <c r="H62" s="69" t="n">
        <v>2</v>
      </c>
      <c r="I62" s="69" t="n">
        <v>1.75</v>
      </c>
      <c r="J62" s="69" t="n">
        <v>1.5</v>
      </c>
      <c r="K62" s="41" t="n">
        <v>1.5</v>
      </c>
      <c r="M62" s="6"/>
    </row>
    <row r="63" customFormat="false" ht="15" hidden="false" customHeight="true" outlineLevel="0" collapsed="false">
      <c r="A63" s="2"/>
      <c r="G63" s="6"/>
      <c r="M63" s="6"/>
    </row>
    <row r="64" customFormat="false" ht="15" hidden="false" customHeight="true" outlineLevel="0" collapsed="false">
      <c r="G64" s="2" t="s">
        <v>85</v>
      </c>
      <c r="H64" s="47" t="n">
        <f aca="false">SUM(H62:J62)</f>
        <v>5.25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2" t="s">
        <v>86</v>
      </c>
      <c r="H72" s="6" t="n">
        <f aca="false">H59*$B$7/$B$5</f>
        <v>0.234209203956366</v>
      </c>
      <c r="I72" s="6" t="n">
        <f aca="false">I59*$B$7/$B$5</f>
        <v>0.201975002385269</v>
      </c>
      <c r="J72" s="6" t="n">
        <f aca="false">J59*$B$7/$B$5</f>
        <v>0.170787350655684</v>
      </c>
      <c r="K72" s="6" t="n">
        <f aca="false">K59*$B$7/$B$5</f>
        <v>0.14427079689173</v>
      </c>
      <c r="M72" s="6"/>
    </row>
    <row r="73" customFormat="false" ht="15" hidden="false" customHeight="false" outlineLevel="0" collapsed="false">
      <c r="G73" s="2" t="s">
        <v>87</v>
      </c>
      <c r="M73" s="6"/>
    </row>
    <row r="74" customFormat="false" ht="15" hidden="false" customHeight="false" outlineLevel="0" collapsed="false">
      <c r="G74" s="2" t="s">
        <v>88</v>
      </c>
      <c r="M74" s="6"/>
    </row>
    <row r="75" customFormat="false" ht="15" hidden="false" customHeight="false" outlineLevel="0" collapsed="false">
      <c r="G75" s="2" t="s">
        <v>89</v>
      </c>
      <c r="H75" s="28" t="n">
        <f aca="false">(H15-H16)/$B$6</f>
        <v>0.0570164612215799</v>
      </c>
      <c r="I75" s="28" t="n">
        <f aca="false">(I15-I16)/$B$6</f>
        <v>0.0506180289629427</v>
      </c>
      <c r="J75" s="28" t="n">
        <f aca="false">(J15-J16)/$B$6</f>
        <v>0.0454025225505531</v>
      </c>
      <c r="K75" s="28" t="n">
        <f aca="false">(K15-K16)/$B$6</f>
        <v>0.0300362483733397</v>
      </c>
      <c r="M7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6" t="n">
        <v>1397.6</v>
      </c>
      <c r="C5" s="6" t="n">
        <f aca="false">H11/1000/B7</f>
        <v>57.5748</v>
      </c>
      <c r="D5" s="6" t="n">
        <f aca="false">35/C5</f>
        <v>0.607904847259565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1995226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40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471433</v>
      </c>
      <c r="C11" s="56" t="n">
        <v>396114</v>
      </c>
      <c r="D11" s="56" t="n">
        <v>338452</v>
      </c>
      <c r="E11" s="56" t="n">
        <v>293707</v>
      </c>
      <c r="G11" s="25" t="s">
        <v>7</v>
      </c>
      <c r="H11" s="56" t="n">
        <v>2302992</v>
      </c>
      <c r="I11" s="56" t="n">
        <v>2144322</v>
      </c>
      <c r="J11" s="56" t="n">
        <v>1982683</v>
      </c>
      <c r="K11" s="56" t="n">
        <v>1873574</v>
      </c>
      <c r="M11" s="25" t="s">
        <v>8</v>
      </c>
      <c r="N11" s="56" t="n">
        <v>144035</v>
      </c>
      <c r="O11" s="56" t="n">
        <v>123724</v>
      </c>
      <c r="P11" s="56" t="n">
        <v>101692</v>
      </c>
      <c r="Q11" s="56" t="n">
        <v>95548</v>
      </c>
    </row>
    <row r="12" customFormat="false" ht="15" hidden="false" customHeight="false" outlineLevel="0" collapsed="false">
      <c r="A12" s="25" t="s">
        <v>9</v>
      </c>
      <c r="B12" s="56" t="n">
        <v>29194</v>
      </c>
      <c r="C12" s="56" t="n">
        <v>25113</v>
      </c>
      <c r="D12" s="56" t="n">
        <v>22927</v>
      </c>
      <c r="E12" s="56" t="n">
        <v>23343</v>
      </c>
      <c r="G12" s="25" t="s">
        <v>10</v>
      </c>
      <c r="H12" s="56" t="n">
        <v>2051148</v>
      </c>
      <c r="I12" s="56" t="n">
        <v>1917208</v>
      </c>
      <c r="J12" s="56" t="n">
        <v>1795035</v>
      </c>
      <c r="K12" s="56" t="n">
        <v>1702074</v>
      </c>
      <c r="M12" s="25" t="s">
        <v>11</v>
      </c>
      <c r="N12" s="56" t="n">
        <v>61713</v>
      </c>
      <c r="O12" s="56" t="n">
        <v>58125</v>
      </c>
      <c r="P12" s="56" t="n">
        <v>54298</v>
      </c>
      <c r="Q12" s="56" t="n">
        <v>58927</v>
      </c>
    </row>
    <row r="13" customFormat="false" ht="15" hidden="false" customHeight="false" outlineLevel="0" collapsed="false">
      <c r="A13" s="25" t="s">
        <v>12</v>
      </c>
      <c r="B13" s="56" t="n">
        <v>500</v>
      </c>
      <c r="C13" s="56" t="n">
        <v>19520</v>
      </c>
      <c r="D13" s="56" t="n">
        <v>9208</v>
      </c>
      <c r="E13" s="56" t="n">
        <v>250</v>
      </c>
      <c r="G13" s="25" t="s">
        <v>13</v>
      </c>
      <c r="H13" s="56" t="n">
        <v>251844</v>
      </c>
      <c r="I13" s="56" t="n">
        <v>227114</v>
      </c>
      <c r="J13" s="56" t="n">
        <v>187648</v>
      </c>
      <c r="K13" s="56" t="n">
        <v>171500</v>
      </c>
      <c r="M13" s="25" t="s">
        <v>14</v>
      </c>
      <c r="N13" s="58" t="n">
        <v>-59943</v>
      </c>
      <c r="O13" s="58" t="n">
        <v>-30336</v>
      </c>
      <c r="P13" s="58" t="n">
        <v>-16452</v>
      </c>
      <c r="Q13" s="58" t="n">
        <v>-2041</v>
      </c>
    </row>
    <row r="14" customFormat="false" ht="15" hidden="false" customHeight="false" outlineLevel="0" collapsed="false">
      <c r="A14" s="25" t="s">
        <v>15</v>
      </c>
      <c r="B14" s="56" t="n">
        <v>736383</v>
      </c>
      <c r="C14" s="56" t="n">
        <v>742816</v>
      </c>
      <c r="D14" s="56" t="n">
        <v>697019</v>
      </c>
      <c r="E14" s="56" t="n">
        <v>590125</v>
      </c>
      <c r="G14" s="25" t="s">
        <v>16</v>
      </c>
      <c r="H14" s="56" t="n">
        <v>12351</v>
      </c>
      <c r="I14" s="56" t="n">
        <v>1980</v>
      </c>
      <c r="J14" s="56" t="n">
        <v>4468</v>
      </c>
      <c r="K14" s="56" t="n">
        <v>942</v>
      </c>
      <c r="M14" s="25" t="s">
        <v>9</v>
      </c>
      <c r="N14" s="58" t="n">
        <v>-4761</v>
      </c>
      <c r="O14" s="58" t="n">
        <v>-2192</v>
      </c>
      <c r="P14" s="56" t="n">
        <v>253</v>
      </c>
      <c r="Q14" s="58" t="n">
        <v>-4794</v>
      </c>
    </row>
    <row r="15" customFormat="false" ht="15" hidden="false" customHeight="false" outlineLevel="0" collapsed="false">
      <c r="A15" s="25" t="s">
        <v>17</v>
      </c>
      <c r="B15" s="56" t="n">
        <v>21410</v>
      </c>
      <c r="C15" s="56" t="n">
        <v>21747</v>
      </c>
      <c r="D15" s="56" t="n">
        <v>21501</v>
      </c>
      <c r="E15" s="56" t="n">
        <v>20282</v>
      </c>
      <c r="G15" s="25" t="s">
        <v>18</v>
      </c>
      <c r="H15" s="56" t="n">
        <v>264195</v>
      </c>
      <c r="I15" s="56" t="n">
        <v>229094</v>
      </c>
      <c r="J15" s="56" t="n">
        <v>192116</v>
      </c>
      <c r="K15" s="56" t="n">
        <v>172442</v>
      </c>
      <c r="M15" s="25" t="s">
        <v>19</v>
      </c>
      <c r="N15" s="58" t="n">
        <v>-40182</v>
      </c>
      <c r="O15" s="56" t="n">
        <v>1825</v>
      </c>
      <c r="P15" s="58" t="n">
        <v>-11958</v>
      </c>
      <c r="Q15" s="56" t="n">
        <v>3916</v>
      </c>
    </row>
    <row r="16" customFormat="false" ht="15" hidden="false" customHeight="false" outlineLevel="0" collapsed="false">
      <c r="A16" s="25" t="s">
        <v>20</v>
      </c>
      <c r="B16" s="56" t="n">
        <v>1258920</v>
      </c>
      <c r="C16" s="56" t="n">
        <v>1205310</v>
      </c>
      <c r="D16" s="56" t="n">
        <v>1089107</v>
      </c>
      <c r="E16" s="56" t="n">
        <v>927707</v>
      </c>
      <c r="G16" s="25" t="s">
        <v>21</v>
      </c>
      <c r="H16" s="56" t="n">
        <v>100855</v>
      </c>
      <c r="I16" s="56" t="n">
        <v>84535</v>
      </c>
      <c r="J16" s="56" t="n">
        <v>74961</v>
      </c>
      <c r="K16" s="56" t="n">
        <v>63844</v>
      </c>
      <c r="M16" s="25" t="s">
        <v>22</v>
      </c>
      <c r="N16" s="56" t="n">
        <v>7283</v>
      </c>
      <c r="O16" s="56" t="n">
        <v>7762</v>
      </c>
      <c r="P16" s="56" t="n">
        <v>4974</v>
      </c>
      <c r="Q16" s="56" t="n">
        <v>18714</v>
      </c>
    </row>
    <row r="17" customFormat="false" ht="15" hidden="false" customHeight="false" outlineLevel="0" collapsed="false">
      <c r="A17" s="25" t="s">
        <v>23</v>
      </c>
      <c r="B17" s="56" t="n">
        <v>485748</v>
      </c>
      <c r="C17" s="56" t="n">
        <v>491882</v>
      </c>
      <c r="D17" s="56" t="n">
        <v>440081</v>
      </c>
      <c r="E17" s="56" t="n">
        <v>347005</v>
      </c>
      <c r="G17" s="25" t="s">
        <v>11</v>
      </c>
      <c r="H17" s="56" t="n">
        <v>4181</v>
      </c>
      <c r="I17" s="56" t="n">
        <v>4250</v>
      </c>
      <c r="J17" s="56" t="n">
        <v>3406</v>
      </c>
      <c r="K17" s="56" t="n">
        <v>2727</v>
      </c>
      <c r="M17" s="25" t="s">
        <v>24</v>
      </c>
      <c r="N17" s="56" t="n">
        <v>31159</v>
      </c>
      <c r="O17" s="56" t="n">
        <v>16338</v>
      </c>
      <c r="P17" s="56" t="n">
        <v>17488</v>
      </c>
      <c r="Q17" s="58" t="n">
        <v>-6294</v>
      </c>
    </row>
    <row r="18" customFormat="false" ht="15" hidden="false" customHeight="false" outlineLevel="0" collapsed="false">
      <c r="A18" s="25" t="s">
        <v>25</v>
      </c>
      <c r="B18" s="56" t="n">
        <v>130178</v>
      </c>
      <c r="C18" s="56" t="n">
        <v>133068</v>
      </c>
      <c r="D18" s="56" t="n">
        <v>130990</v>
      </c>
      <c r="E18" s="56" t="n">
        <v>102759</v>
      </c>
      <c r="G18" s="25" t="s">
        <v>26</v>
      </c>
      <c r="H18" s="56" t="n">
        <v>9974</v>
      </c>
      <c r="I18" s="56" t="n">
        <v>13525</v>
      </c>
      <c r="J18" s="56" t="n">
        <v>9837</v>
      </c>
      <c r="K18" s="56" t="n">
        <v>8300</v>
      </c>
      <c r="M18" s="25" t="s">
        <v>27</v>
      </c>
      <c r="N18" s="58" t="n">
        <v>-71324</v>
      </c>
      <c r="O18" s="58" t="n">
        <v>-108033</v>
      </c>
      <c r="P18" s="58" t="n">
        <v>-169918</v>
      </c>
      <c r="Q18" s="58" t="n">
        <v>-145920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115010</v>
      </c>
      <c r="I19" s="56" t="n">
        <v>102310</v>
      </c>
      <c r="J19" s="56" t="n">
        <v>88204</v>
      </c>
      <c r="K19" s="56" t="n">
        <v>74871</v>
      </c>
      <c r="M19" s="25" t="s">
        <v>30</v>
      </c>
      <c r="N19" s="56" t="n">
        <v>38608</v>
      </c>
      <c r="O19" s="58" t="n">
        <v>-15572</v>
      </c>
      <c r="P19" s="58" t="n">
        <v>-6744</v>
      </c>
      <c r="Q19" s="56" t="n">
        <v>3351</v>
      </c>
    </row>
    <row r="20" customFormat="false" ht="15" hidden="false" customHeight="false" outlineLevel="0" collapsed="false">
      <c r="A20" s="25" t="s">
        <v>31</v>
      </c>
      <c r="B20" s="56" t="n">
        <v>642994</v>
      </c>
      <c r="C20" s="56" t="n">
        <v>580360</v>
      </c>
      <c r="D20" s="56" t="n">
        <v>518036</v>
      </c>
      <c r="E20" s="56" t="n">
        <v>477943</v>
      </c>
      <c r="G20" s="25" t="s">
        <v>32</v>
      </c>
      <c r="H20" s="56" t="n">
        <v>149185</v>
      </c>
      <c r="I20" s="56" t="n">
        <v>126784</v>
      </c>
      <c r="J20" s="56" t="n">
        <v>103912</v>
      </c>
      <c r="K20" s="56" t="n">
        <v>97571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6" t="n">
        <v>5150</v>
      </c>
      <c r="I21" s="56" t="n">
        <v>3060</v>
      </c>
      <c r="J21" s="56" t="n">
        <v>2220</v>
      </c>
      <c r="K21" s="56" t="n">
        <v>2023</v>
      </c>
      <c r="M21" s="25" t="s">
        <v>36</v>
      </c>
      <c r="N21" s="58" t="n">
        <v>-123249</v>
      </c>
      <c r="O21" s="58" t="n">
        <v>-46090</v>
      </c>
      <c r="P21" s="56" t="n">
        <v>38676</v>
      </c>
      <c r="Q21" s="58" t="n">
        <v>-25725</v>
      </c>
    </row>
    <row r="22" customFormat="false" ht="15" hidden="false" customHeight="false" outlineLevel="0" collapsed="false">
      <c r="A22" s="25" t="s">
        <v>37</v>
      </c>
      <c r="B22" s="56" t="n">
        <v>1258920</v>
      </c>
      <c r="C22" s="56" t="n">
        <v>1205310</v>
      </c>
      <c r="D22" s="56" t="n">
        <v>1089107</v>
      </c>
      <c r="E22" s="56" t="n">
        <v>927707</v>
      </c>
      <c r="G22" s="25" t="s">
        <v>8</v>
      </c>
      <c r="H22" s="56" t="n">
        <v>144035</v>
      </c>
      <c r="I22" s="56" t="n">
        <v>123724</v>
      </c>
      <c r="J22" s="56" t="n">
        <v>101692</v>
      </c>
      <c r="K22" s="56" t="n">
        <v>95548</v>
      </c>
      <c r="M22" s="25" t="s">
        <v>38</v>
      </c>
      <c r="N22" s="56" t="n">
        <v>34961</v>
      </c>
      <c r="O22" s="56" t="n">
        <v>29410</v>
      </c>
      <c r="P22" s="56" t="n">
        <v>17101</v>
      </c>
      <c r="Q22" s="56" t="n">
        <v>21418</v>
      </c>
    </row>
    <row r="23" customFormat="false" ht="15" hidden="false" customHeight="false" outlineLevel="0" collapsed="false">
      <c r="G23" s="25" t="s">
        <v>39</v>
      </c>
      <c r="H23" s="56" t="n">
        <v>29952</v>
      </c>
      <c r="I23" s="57"/>
      <c r="J23" s="56" t="n">
        <v>63675</v>
      </c>
      <c r="K23" s="56" t="n">
        <v>39282</v>
      </c>
      <c r="M23" s="25" t="s">
        <v>40</v>
      </c>
      <c r="N23" s="56" t="n">
        <v>18300</v>
      </c>
      <c r="O23" s="56" t="n">
        <v>34961</v>
      </c>
      <c r="P23" s="56" t="n">
        <v>29410</v>
      </c>
      <c r="Q23" s="56" t="n">
        <v>17100</v>
      </c>
    </row>
    <row r="24" customFormat="false" ht="15" hidden="false" customHeight="false" outlineLevel="0" collapsed="false">
      <c r="G24" s="25" t="s">
        <v>41</v>
      </c>
      <c r="H24" s="56" t="n">
        <v>14404</v>
      </c>
      <c r="I24" s="56" t="n">
        <v>12372</v>
      </c>
      <c r="J24" s="56" t="n">
        <v>10169</v>
      </c>
      <c r="K24" s="56" t="n">
        <v>9555</v>
      </c>
      <c r="M24" s="2" t="s">
        <v>42</v>
      </c>
      <c r="N24" s="12" t="n">
        <f aca="false">SUM(N11:N17)</f>
        <v>139304</v>
      </c>
      <c r="O24" s="12" t="n">
        <f aca="false">SUM(O11:O17)</f>
        <v>175246</v>
      </c>
      <c r="P24" s="12" t="n">
        <f aca="false">SUM(P11:P17)</f>
        <v>150295</v>
      </c>
      <c r="Q24" s="12" t="n">
        <f aca="false">SUM(Q11:Q17)</f>
        <v>163976</v>
      </c>
    </row>
    <row r="25" customFormat="false" ht="15" hidden="false" customHeight="false" outlineLevel="0" collapsed="false">
      <c r="G25" s="25" t="s">
        <v>43</v>
      </c>
      <c r="H25" s="56" t="n">
        <v>80000</v>
      </c>
      <c r="I25" s="56" t="n">
        <v>80000</v>
      </c>
      <c r="J25" s="56" t="n">
        <v>60000</v>
      </c>
      <c r="K25" s="56" t="n">
        <v>60000</v>
      </c>
      <c r="M25" s="2" t="s">
        <v>44</v>
      </c>
      <c r="N25" s="12" t="n">
        <f aca="false">N18+N19</f>
        <v>-32716</v>
      </c>
      <c r="O25" s="12" t="n">
        <f aca="false">O18+O19</f>
        <v>-123605</v>
      </c>
      <c r="P25" s="12" t="n">
        <f aca="false">P18+P19</f>
        <v>-176662</v>
      </c>
      <c r="Q25" s="12" t="n">
        <f aca="false">Q18+Q19</f>
        <v>-142569</v>
      </c>
    </row>
    <row r="26" customFormat="false" ht="15" hidden="false" customHeight="false" outlineLevel="0" collapsed="false">
      <c r="G26" s="25" t="s">
        <v>45</v>
      </c>
      <c r="H26" s="57"/>
      <c r="I26" s="57"/>
      <c r="J26" s="56" t="n">
        <v>100000</v>
      </c>
      <c r="K26" s="57"/>
      <c r="M26" s="2" t="s">
        <v>46</v>
      </c>
      <c r="N26" s="12" t="n">
        <f aca="false">N20+N21</f>
        <v>-123249</v>
      </c>
      <c r="O26" s="12" t="n">
        <f aca="false">O20+O21</f>
        <v>-46090</v>
      </c>
      <c r="P26" s="12" t="n">
        <f aca="false">P20+P21</f>
        <v>38676</v>
      </c>
      <c r="Q26" s="12" t="n">
        <f aca="false">Q20+Q21</f>
        <v>-25725</v>
      </c>
    </row>
    <row r="27" customFormat="false" ht="15" hidden="false" customHeight="false" outlineLevel="0" collapsed="false">
      <c r="G27" s="25" t="s">
        <v>47</v>
      </c>
      <c r="H27" s="56" t="n">
        <v>79583</v>
      </c>
      <c r="I27" s="56" t="n">
        <v>31352</v>
      </c>
      <c r="J27" s="56" t="n">
        <v>95198</v>
      </c>
      <c r="K27" s="56" t="n">
        <v>65275</v>
      </c>
      <c r="M27" s="2" t="s">
        <v>48</v>
      </c>
      <c r="N27" s="12" t="n">
        <f aca="false">N24+N25+N26</f>
        <v>-16661</v>
      </c>
      <c r="O27" s="12" t="n">
        <f aca="false">O24+O25+O26</f>
        <v>5551</v>
      </c>
      <c r="P27" s="12" t="n">
        <f aca="false">P24+P25+P26</f>
        <v>12309</v>
      </c>
      <c r="Q27" s="12" t="n">
        <f aca="false">Q24+Q25+Q26</f>
        <v>-4318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0.37447415244813</v>
      </c>
      <c r="C30" s="24" t="n">
        <f aca="false">C11/C$16</f>
        <v>0.328640764616572</v>
      </c>
      <c r="D30" s="24" t="n">
        <f aca="false">D11/D$16</f>
        <v>0.310761017971604</v>
      </c>
      <c r="E30" s="24" t="n">
        <f aca="false">E11/E$16</f>
        <v>0.316594571346341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0.0625425533393082</v>
      </c>
      <c r="O30" s="26" t="n">
        <f aca="false">O11/I$11</f>
        <v>0.0576984240240039</v>
      </c>
      <c r="P30" s="26" t="n">
        <f aca="false">P11/J$11</f>
        <v>0.0512900952900691</v>
      </c>
      <c r="Q30" s="26" t="n">
        <f aca="false">Q11/K$11</f>
        <v>0.0509977187984035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0.0231897181711308</v>
      </c>
      <c r="C31" s="24" t="n">
        <f aca="false">C12/C$16</f>
        <v>0.0208353037807701</v>
      </c>
      <c r="D31" s="24" t="n">
        <f aca="false">D12/D$16</f>
        <v>0.0210511914807269</v>
      </c>
      <c r="E31" s="24" t="n">
        <f aca="false">E12/E$16</f>
        <v>0.0251620393076693</v>
      </c>
      <c r="F31" s="6"/>
      <c r="G31" s="25" t="s">
        <v>10</v>
      </c>
      <c r="H31" s="24" t="n">
        <f aca="false">H12/H$11</f>
        <v>0.890644865461973</v>
      </c>
      <c r="I31" s="24" t="n">
        <f aca="false">I12/I$11</f>
        <v>0.894085869566231</v>
      </c>
      <c r="J31" s="24" t="n">
        <f aca="false">J12/J$11</f>
        <v>0.905356529510769</v>
      </c>
      <c r="K31" s="24" t="n">
        <f aca="false">K12/K$11</f>
        <v>0.908463716938856</v>
      </c>
      <c r="L31" s="6"/>
      <c r="M31" s="25" t="s">
        <v>11</v>
      </c>
      <c r="N31" s="26" t="n">
        <f aca="false">N12/H$11</f>
        <v>0.0267968798849497</v>
      </c>
      <c r="O31" s="26" t="n">
        <f aca="false">O12/I$11</f>
        <v>0.0271064700170963</v>
      </c>
      <c r="P31" s="26" t="n">
        <f aca="false">P12/J$11</f>
        <v>0.027386122743777</v>
      </c>
      <c r="Q31" s="26" t="n">
        <f aca="false">Q12/K$11</f>
        <v>0.0314516533641052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0.000397165824675118</v>
      </c>
      <c r="C32" s="24" t="n">
        <f aca="false">C13/C$16</f>
        <v>0.0161950037749625</v>
      </c>
      <c r="D32" s="24" t="n">
        <f aca="false">D13/D$16</f>
        <v>0.00845463301585611</v>
      </c>
      <c r="E32" s="24" t="n">
        <f aca="false">E13/E$16</f>
        <v>0.00026948163590444</v>
      </c>
      <c r="F32" s="6"/>
      <c r="G32" s="25" t="s">
        <v>13</v>
      </c>
      <c r="H32" s="24" t="n">
        <f aca="false">H13/H$11</f>
        <v>0.109355134538027</v>
      </c>
      <c r="I32" s="24" t="n">
        <f aca="false">I13/I$11</f>
        <v>0.105914130433769</v>
      </c>
      <c r="J32" s="24" t="n">
        <f aca="false">J13/J$11</f>
        <v>0.094643470489231</v>
      </c>
      <c r="K32" s="24" t="n">
        <f aca="false">K13/K$11</f>
        <v>0.0915362830611441</v>
      </c>
      <c r="L32" s="6"/>
      <c r="M32" s="25" t="s">
        <v>14</v>
      </c>
      <c r="N32" s="26" t="n">
        <f aca="false">N13/H$11</f>
        <v>-0.0260283144709144</v>
      </c>
      <c r="O32" s="26" t="n">
        <f aca="false">O13/I$11</f>
        <v>-0.0141471290226002</v>
      </c>
      <c r="P32" s="26" t="n">
        <f aca="false">P13/J$11</f>
        <v>-0.00829784690744814</v>
      </c>
      <c r="Q32" s="26" t="n">
        <f aca="false">Q13/K$11</f>
        <v>-0.00108936182931659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0.584932322943475</v>
      </c>
      <c r="C33" s="24" t="n">
        <f aca="false">C14/C$16</f>
        <v>0.616286266603612</v>
      </c>
      <c r="D33" s="24" t="n">
        <f aca="false">D14/D$16</f>
        <v>0.639991295621091</v>
      </c>
      <c r="E33" s="24" t="n">
        <f aca="false">E14/E$16</f>
        <v>0.63611140155243</v>
      </c>
      <c r="F33" s="6"/>
      <c r="G33" s="25" t="s">
        <v>16</v>
      </c>
      <c r="H33" s="24" t="n">
        <f aca="false">H14/H$11</f>
        <v>0.00536302340607349</v>
      </c>
      <c r="I33" s="24" t="n">
        <f aca="false">I14/I$11</f>
        <v>0.000923368785098507</v>
      </c>
      <c r="J33" s="24" t="n">
        <f aca="false">J14/J$11</f>
        <v>0.00225351203394592</v>
      </c>
      <c r="K33" s="24" t="n">
        <f aca="false">K14/K$11</f>
        <v>0.000502782382761503</v>
      </c>
      <c r="L33" s="6"/>
      <c r="M33" s="25" t="s">
        <v>9</v>
      </c>
      <c r="N33" s="26" t="n">
        <f aca="false">N14/H$11</f>
        <v>-0.00206731069843056</v>
      </c>
      <c r="O33" s="26" t="n">
        <f aca="false">O14/I$11</f>
        <v>-0.00102223453380602</v>
      </c>
      <c r="P33" s="26" t="n">
        <f aca="false">P14/J$11</f>
        <v>0.000127604866738657</v>
      </c>
      <c r="Q33" s="26" t="n">
        <f aca="false">Q14/K$11</f>
        <v>-0.00255874601163338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0.0170066406125886</v>
      </c>
      <c r="C34" s="24" t="n">
        <f aca="false">C15/C$16</f>
        <v>0.0180426612240834</v>
      </c>
      <c r="D34" s="24" t="n">
        <f aca="false">D15/D$16</f>
        <v>0.0197418619107214</v>
      </c>
      <c r="E34" s="24" t="n">
        <f aca="false">E15/E$16</f>
        <v>0.0218625061576554</v>
      </c>
      <c r="F34" s="6"/>
      <c r="G34" s="25" t="s">
        <v>18</v>
      </c>
      <c r="H34" s="24" t="n">
        <f aca="false">H15/H$11</f>
        <v>0.114718157944101</v>
      </c>
      <c r="I34" s="24" t="n">
        <f aca="false">I15/I$11</f>
        <v>0.106837499218867</v>
      </c>
      <c r="J34" s="24" t="n">
        <f aca="false">J15/J$11</f>
        <v>0.0968969825231769</v>
      </c>
      <c r="K34" s="24" t="n">
        <f aca="false">K15/K$11</f>
        <v>0.0920390654439056</v>
      </c>
      <c r="L34" s="6"/>
      <c r="M34" s="25" t="s">
        <v>19</v>
      </c>
      <c r="N34" s="26" t="n">
        <f aca="false">N15/H$11</f>
        <v>-0.0174477375518456</v>
      </c>
      <c r="O34" s="26" t="n">
        <f aca="false">O15/I$11</f>
        <v>0.000851084865052916</v>
      </c>
      <c r="P34" s="26" t="n">
        <f aca="false">P15/J$11</f>
        <v>-0.00603122132988481</v>
      </c>
      <c r="Q34" s="26" t="n">
        <f aca="false">Q15/K$11</f>
        <v>0.00209012294150111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0.043793030978831</v>
      </c>
      <c r="I35" s="24" t="n">
        <f aca="false">I16/I$11</f>
        <v>0.0394227172971223</v>
      </c>
      <c r="J35" s="24" t="n">
        <f aca="false">J16/J$11</f>
        <v>0.0378078593501836</v>
      </c>
      <c r="K35" s="24" t="n">
        <f aca="false">K16/K$11</f>
        <v>0.0340760493046979</v>
      </c>
      <c r="L35" s="6"/>
      <c r="M35" s="25" t="s">
        <v>22</v>
      </c>
      <c r="N35" s="26" t="n">
        <f aca="false">N16/H$11</f>
        <v>0.00316240785899387</v>
      </c>
      <c r="O35" s="26" t="n">
        <f aca="false">O16/I$11</f>
        <v>0.00361979217673465</v>
      </c>
      <c r="P35" s="26" t="n">
        <f aca="false">P16/J$11</f>
        <v>0.00250872176742323</v>
      </c>
      <c r="Q35" s="26" t="n">
        <f aca="false">Q16/K$11</f>
        <v>0.00998839650849126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0.385845010008579</v>
      </c>
      <c r="C36" s="24" t="n">
        <f aca="false">C17/C$16</f>
        <v>0.408095842563324</v>
      </c>
      <c r="D36" s="24" t="n">
        <f aca="false">D17/D$16</f>
        <v>0.404075081695371</v>
      </c>
      <c r="E36" s="24" t="n">
        <f aca="false">E17/E$16</f>
        <v>0.37404590026808</v>
      </c>
      <c r="F36" s="6"/>
      <c r="G36" s="25" t="s">
        <v>11</v>
      </c>
      <c r="H36" s="24" t="n">
        <f aca="false">H17/H$11</f>
        <v>0.00181546440456589</v>
      </c>
      <c r="I36" s="24" t="n">
        <f aca="false">I17/I$11</f>
        <v>0.00198197845286296</v>
      </c>
      <c r="J36" s="24" t="n">
        <f aca="false">J17/J$11</f>
        <v>0.00171787421388089</v>
      </c>
      <c r="K36" s="24" t="n">
        <f aca="false">K17/K$11</f>
        <v>0.00145550696156117</v>
      </c>
      <c r="L36" s="6"/>
      <c r="M36" s="25" t="s">
        <v>24</v>
      </c>
      <c r="N36" s="26" t="n">
        <f aca="false">N17/H$11</f>
        <v>0.0135297908112577</v>
      </c>
      <c r="O36" s="26" t="n">
        <f aca="false">O17/I$11</f>
        <v>0.00761919152067647</v>
      </c>
      <c r="P36" s="26" t="n">
        <f aca="false">P17/J$11</f>
        <v>0.00882037118389576</v>
      </c>
      <c r="Q36" s="26" t="n">
        <f aca="false">Q17/K$11</f>
        <v>-0.003359354901381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0.103404505449115</v>
      </c>
      <c r="C37" s="24" t="n">
        <f aca="false">C18/C$16</f>
        <v>0.110401473479852</v>
      </c>
      <c r="D37" s="24" t="n">
        <f aca="false">D18/D$16</f>
        <v>0.120272847387814</v>
      </c>
      <c r="E37" s="24" t="n">
        <f aca="false">E18/E$16</f>
        <v>0.110766653695617</v>
      </c>
      <c r="F37" s="6"/>
      <c r="G37" s="25" t="s">
        <v>26</v>
      </c>
      <c r="H37" s="24" t="n">
        <f aca="false">H18/H$11</f>
        <v>0.00433088781897636</v>
      </c>
      <c r="I37" s="24" t="n">
        <f aca="false">I18/I$11</f>
        <v>0.00630735495881682</v>
      </c>
      <c r="J37" s="24" t="n">
        <f aca="false">J18/J$11</f>
        <v>0.00496145879094137</v>
      </c>
      <c r="K37" s="24" t="n">
        <f aca="false">K18/K$11</f>
        <v>0.00443003585660348</v>
      </c>
      <c r="L37" s="6"/>
      <c r="M37" s="25" t="s">
        <v>27</v>
      </c>
      <c r="N37" s="26" t="n">
        <f aca="false">N18/H$11</f>
        <v>-0.0309701466613866</v>
      </c>
      <c r="O37" s="26" t="n">
        <f aca="false">O18/I$11</f>
        <v>-0.0503809595760338</v>
      </c>
      <c r="P37" s="26" t="n">
        <f aca="false">P18/J$11</f>
        <v>-0.0857010424762809</v>
      </c>
      <c r="Q37" s="26" t="n">
        <f aca="false">Q18/K$11</f>
        <v>-0.0778832327946481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0.0499393832023733</v>
      </c>
      <c r="I38" s="24" t="n">
        <f aca="false">I19/I$11</f>
        <v>0.0477120507088021</v>
      </c>
      <c r="J38" s="24" t="n">
        <f aca="false">J19/J$11</f>
        <v>0.0444871923550058</v>
      </c>
      <c r="K38" s="24" t="n">
        <f aca="false">K19/K$11</f>
        <v>0.0399615921228625</v>
      </c>
      <c r="L38" s="6"/>
      <c r="M38" s="25" t="s">
        <v>30</v>
      </c>
      <c r="N38" s="26" t="n">
        <f aca="false">N19/H$11</f>
        <v>0.0167642788164266</v>
      </c>
      <c r="O38" s="26" t="n">
        <f aca="false">O19/I$11</f>
        <v>-0.00726196905128987</v>
      </c>
      <c r="P38" s="26" t="n">
        <f aca="false">P19/J$11</f>
        <v>-0.00340145146753162</v>
      </c>
      <c r="Q38" s="26" t="n">
        <f aca="false">Q19/K$11</f>
        <v>0.00178856025969617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0.510750484542306</v>
      </c>
      <c r="C39" s="24" t="n">
        <f aca="false">C20/C$16</f>
        <v>0.481502683956824</v>
      </c>
      <c r="D39" s="24" t="n">
        <f aca="false">D20/D$16</f>
        <v>0.475652070916815</v>
      </c>
      <c r="E39" s="24" t="n">
        <f aca="false">E20/E$16</f>
        <v>0.515187446036302</v>
      </c>
      <c r="F39" s="6"/>
      <c r="G39" s="25" t="s">
        <v>32</v>
      </c>
      <c r="H39" s="24" t="n">
        <f aca="false">H20/H$11</f>
        <v>0.0647787747417273</v>
      </c>
      <c r="I39" s="24" t="n">
        <f aca="false">I20/I$11</f>
        <v>0.0591254485100652</v>
      </c>
      <c r="J39" s="24" t="n">
        <f aca="false">J20/J$11</f>
        <v>0.0524097901681711</v>
      </c>
      <c r="K39" s="24" t="n">
        <f aca="false">K20/K$11</f>
        <v>0.0520774733210431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0.00223622140241911</v>
      </c>
      <c r="I40" s="24" t="n">
        <f aca="false">I21/I$11</f>
        <v>0.00142702448606133</v>
      </c>
      <c r="J40" s="24" t="n">
        <f aca="false">J21/J$11</f>
        <v>0.00111969487810205</v>
      </c>
      <c r="K40" s="24" t="n">
        <f aca="false">K21/K$11</f>
        <v>0.00107975452263962</v>
      </c>
      <c r="L40" s="6"/>
      <c r="M40" s="25" t="s">
        <v>36</v>
      </c>
      <c r="N40" s="26" t="n">
        <f aca="false">N21/H$11</f>
        <v>-0.0535169032284958</v>
      </c>
      <c r="O40" s="26" t="n">
        <f aca="false">O21/I$11</f>
        <v>-0.0214939733864597</v>
      </c>
      <c r="P40" s="26" t="n">
        <f aca="false">P21/J$11</f>
        <v>0.0195069004979616</v>
      </c>
      <c r="Q40" s="26" t="n">
        <f aca="false">Q21/K$11</f>
        <v>-0.0137304424591716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0.0625425533393082</v>
      </c>
      <c r="I41" s="24" t="n">
        <f aca="false">I22/I$11</f>
        <v>0.0576984240240039</v>
      </c>
      <c r="J41" s="24" t="n">
        <f aca="false">J22/J$11</f>
        <v>0.0512900952900691</v>
      </c>
      <c r="K41" s="24" t="n">
        <f aca="false">K22/K$11</f>
        <v>0.0509977187984035</v>
      </c>
      <c r="L41" s="6"/>
      <c r="M41" s="25" t="s">
        <v>38</v>
      </c>
      <c r="N41" s="26" t="n">
        <f aca="false">N22/H$11</f>
        <v>0.0151806866893155</v>
      </c>
      <c r="O41" s="26" t="n">
        <f aca="false">O22/I$11</f>
        <v>0.0137152908938117</v>
      </c>
      <c r="P41" s="26" t="n">
        <f aca="false">P22/J$11</f>
        <v>0.00862518113082122</v>
      </c>
      <c r="Q41" s="26" t="n">
        <f aca="false">Q22/K$11</f>
        <v>0.0114316274670763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0.0130056899893704</v>
      </c>
      <c r="I42" s="24" t="n">
        <f aca="false">I23/I$11</f>
        <v>0</v>
      </c>
      <c r="J42" s="24" t="n">
        <f aca="false">J23/J$11</f>
        <v>0.0321155726861026</v>
      </c>
      <c r="K42" s="24" t="n">
        <f aca="false">K23/K$11</f>
        <v>0.0209663456047106</v>
      </c>
      <c r="L42" s="6"/>
      <c r="M42" s="25" t="s">
        <v>40</v>
      </c>
      <c r="N42" s="26" t="n">
        <f aca="false">N23/H$11</f>
        <v>0.0079461847891786</v>
      </c>
      <c r="O42" s="26" t="n">
        <f aca="false">O23/I$11</f>
        <v>0.0163039879271863</v>
      </c>
      <c r="P42" s="26" t="n">
        <f aca="false">P23/J$11</f>
        <v>0.0148334352995411</v>
      </c>
      <c r="Q42" s="26" t="n">
        <f aca="false">Q23/K$11</f>
        <v>0.00912694134312282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0.00625447244280484</v>
      </c>
      <c r="I43" s="24" t="n">
        <f aca="false">I24/I$11</f>
        <v>0.00576965586325188</v>
      </c>
      <c r="J43" s="24" t="n">
        <f aca="false">J24/J$11</f>
        <v>0.00512890865559447</v>
      </c>
      <c r="K43" s="24" t="n">
        <f aca="false">K24/K$11</f>
        <v>0.00509987862769231</v>
      </c>
      <c r="L43" s="6"/>
      <c r="M43" s="2" t="s">
        <v>49</v>
      </c>
      <c r="N43" s="26" t="n">
        <f aca="false">N24/H11</f>
        <v>0.0604882691733189</v>
      </c>
      <c r="O43" s="26" t="n">
        <f aca="false">O24/I11</f>
        <v>0.081725599047158</v>
      </c>
      <c r="P43" s="26" t="n">
        <f aca="false">P24/J11</f>
        <v>0.0758038476145708</v>
      </c>
      <c r="Q43" s="26" t="n">
        <f aca="false">Q24/K11</f>
        <v>0.0875204288701701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0.0347374198434037</v>
      </c>
      <c r="I44" s="24" t="n">
        <f aca="false">I25/I$11</f>
        <v>0.0373078297009498</v>
      </c>
      <c r="J44" s="24" t="n">
        <f aca="false">J25/J$11</f>
        <v>0.0302620237324877</v>
      </c>
      <c r="K44" s="24" t="n">
        <f aca="false">K25/K$11</f>
        <v>0.0320243555899046</v>
      </c>
      <c r="L44" s="6"/>
      <c r="M44" s="2" t="s">
        <v>50</v>
      </c>
      <c r="N44" s="26" t="n">
        <f aca="false">N24/B16</f>
        <v>0.110653576081085</v>
      </c>
      <c r="O44" s="26" t="n">
        <f aca="false">O24/C16</f>
        <v>0.145394960632534</v>
      </c>
      <c r="P44" s="26" t="n">
        <f aca="false">P24/D16</f>
        <v>0.137998378488064</v>
      </c>
      <c r="Q44" s="26" t="n">
        <f aca="false">Q24/E16</f>
        <v>0.176754082916266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0.0504367062208129</v>
      </c>
      <c r="K45" s="24" t="n">
        <f aca="false">K26/K$11</f>
        <v>0</v>
      </c>
      <c r="L45" s="6"/>
      <c r="M45" s="2" t="s">
        <v>51</v>
      </c>
      <c r="N45" s="26" t="n">
        <f aca="false">N24/B20</f>
        <v>0.216648988948575</v>
      </c>
      <c r="O45" s="26" t="n">
        <f aca="false">O24/C20</f>
        <v>0.301960851885037</v>
      </c>
      <c r="P45" s="26" t="n">
        <f aca="false">P24/D20</f>
        <v>0.290124624543468</v>
      </c>
      <c r="Q45" s="26" t="n">
        <f aca="false">Q24/E20</f>
        <v>0.343086937145224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0.03455635104247</v>
      </c>
      <c r="I46" s="24" t="n">
        <f aca="false">I27/I$11</f>
        <v>0.0146209384598022</v>
      </c>
      <c r="J46" s="24" t="n">
        <f aca="false">J27/J$11</f>
        <v>0.0480147355880895</v>
      </c>
      <c r="K46" s="24" t="n">
        <f aca="false">K27/K$11</f>
        <v>0.0348398301855171</v>
      </c>
      <c r="L46" s="6"/>
      <c r="M46" s="2" t="s">
        <v>52</v>
      </c>
      <c r="N46" s="26" t="n">
        <f aca="false">N24/H22</f>
        <v>0.967153816780644</v>
      </c>
      <c r="O46" s="26" t="n">
        <f aca="false">O24/I22</f>
        <v>1.4164268856487</v>
      </c>
      <c r="P46" s="26" t="n">
        <f aca="false">P24/J22</f>
        <v>1.47794320103843</v>
      </c>
      <c r="Q46" s="26" t="n">
        <f aca="false">Q24/K22</f>
        <v>1.71616360363378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0.226170026918818</v>
      </c>
      <c r="O47" s="26" t="n">
        <f aca="false">O24/(C22-C20)</f>
        <v>0.280416033282663</v>
      </c>
      <c r="P47" s="26" t="n">
        <f aca="false">P24/(D22-D20)</f>
        <v>0.263180935470371</v>
      </c>
      <c r="Q47" s="26" t="n">
        <f aca="false">Q24/(E22-E20)</f>
        <v>0.364582314280378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1.7413</v>
      </c>
      <c r="O48" s="26" t="n">
        <f aca="false">O24/I25</f>
        <v>2.190575</v>
      </c>
      <c r="P48" s="26" t="n">
        <f aca="false">P24/J25</f>
        <v>2.50491666666667</v>
      </c>
      <c r="Q48" s="26" t="n">
        <f aca="false">Q24/K25</f>
        <v>2.73293333333333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1.95311536088834</v>
      </c>
      <c r="O49" s="26" t="n">
        <f aca="false">O24/(O18*-1)</f>
        <v>1.62215249044274</v>
      </c>
      <c r="P49" s="26" t="n">
        <f aca="false">P24/(P18*-1)</f>
        <v>0.88451488364976</v>
      </c>
      <c r="Q49" s="26" t="n">
        <f aca="false">Q24/(Q18*-1)</f>
        <v>1.12373903508772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0.103357754140254</v>
      </c>
      <c r="I50" s="28" t="n">
        <f aca="false">LN(I13/J13)</f>
        <v>0.190884226678954</v>
      </c>
      <c r="J50" s="28" t="n">
        <f aca="false">LN(J13/K13)</f>
        <v>0.0899846007780823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0.970529986742097</v>
      </c>
      <c r="C51" s="30" t="n">
        <f aca="false">C11/C17</f>
        <v>0.805302897849484</v>
      </c>
      <c r="D51" s="30" t="n">
        <f aca="false">D11/D17</f>
        <v>0.769067512571549</v>
      </c>
      <c r="E51" s="30" t="n">
        <f aca="false">E11/E17</f>
        <v>0.84640567138802</v>
      </c>
      <c r="G51" s="29" t="s">
        <v>58</v>
      </c>
      <c r="H51" s="63" t="n">
        <f aca="false">H13/H11</f>
        <v>0.109355134538027</v>
      </c>
      <c r="I51" s="63" t="n">
        <f aca="false">I13/I11</f>
        <v>0.105914130433769</v>
      </c>
      <c r="J51" s="63" t="n">
        <f aca="false">J13/J11</f>
        <v>0.094643470489231</v>
      </c>
      <c r="K51" s="63" t="n">
        <f aca="false">K13/K11</f>
        <v>0.0915362830611441</v>
      </c>
      <c r="M51" s="2" t="s">
        <v>59</v>
      </c>
      <c r="N51" s="32" t="n">
        <f aca="false">(N11-N24-N25)/B16</f>
        <v>0.0297453372732183</v>
      </c>
      <c r="O51" s="32" t="n">
        <f aca="false">(O11-O24-O25)/C16</f>
        <v>0.0598045316142735</v>
      </c>
      <c r="P51" s="32" t="n">
        <f aca="false">(P11-P24-P25)/D16</f>
        <v>0.117581651756898</v>
      </c>
      <c r="Q51" s="32" t="n">
        <f aca="false">(Q11-Q24-Q25)/E16</f>
        <v>0.0799185518703642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0.118502367108315</v>
      </c>
      <c r="C52" s="31" t="n">
        <f aca="false">I20/C16</f>
        <v>0.105187876977707</v>
      </c>
      <c r="D52" s="31" t="n">
        <f aca="false">J20/D16</f>
        <v>0.095410276492576</v>
      </c>
      <c r="E52" s="31" t="n">
        <f aca="false">K20/E16</f>
        <v>0.105174370787328</v>
      </c>
      <c r="F52" s="31"/>
      <c r="G52" s="29" t="s">
        <v>61</v>
      </c>
      <c r="H52" s="63" t="n">
        <f aca="false">H16/H11</f>
        <v>0.043793030978831</v>
      </c>
      <c r="I52" s="63" t="n">
        <f aca="false">I16/I11</f>
        <v>0.0394227172971224</v>
      </c>
      <c r="J52" s="63" t="n">
        <f aca="false">J16/J11</f>
        <v>0.0378078593501836</v>
      </c>
      <c r="K52" s="63" t="n">
        <f aca="false">K16/K11</f>
        <v>0.0340760493046979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0.232016161892646</v>
      </c>
      <c r="C53" s="31" t="n">
        <f aca="false">I20/C20</f>
        <v>0.218457509132263</v>
      </c>
      <c r="D53" s="31" t="n">
        <f aca="false">J20/D20</f>
        <v>0.200588376097414</v>
      </c>
      <c r="E53" s="31" t="n">
        <f aca="false">K20/E20</f>
        <v>0.204147774943874</v>
      </c>
      <c r="G53" s="29" t="s">
        <v>11</v>
      </c>
      <c r="H53" s="63" t="n">
        <f aca="false">H17/H11</f>
        <v>0.00181546440456589</v>
      </c>
      <c r="I53" s="63" t="n">
        <f aca="false">I17/I11</f>
        <v>0.00198197845286296</v>
      </c>
      <c r="J53" s="63" t="n">
        <f aca="false">J17/J11</f>
        <v>0.00171787421388089</v>
      </c>
      <c r="K53" s="63" t="n">
        <f aca="false">K17/K11</f>
        <v>0.00145550696156117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78.8857984517367</v>
      </c>
      <c r="C54" s="30" t="n">
        <f aca="false">I11/C12</f>
        <v>85.3869310715566</v>
      </c>
      <c r="D54" s="30" t="n">
        <f aca="false">J11/D12</f>
        <v>86.4780826100231</v>
      </c>
      <c r="E54" s="30" t="n">
        <f aca="false">K11/E12</f>
        <v>80.2627768495909</v>
      </c>
      <c r="G54" s="29" t="s">
        <v>64</v>
      </c>
      <c r="H54" s="63" t="n">
        <f aca="false">H25/H22</f>
        <v>0.555420557503385</v>
      </c>
      <c r="I54" s="63" t="n">
        <f aca="false">I25/I22</f>
        <v>0.646600497882383</v>
      </c>
      <c r="J54" s="63" t="n">
        <f aca="false">J25/J22</f>
        <v>0.590016913818196</v>
      </c>
      <c r="K54" s="63" t="n">
        <f aca="false">K25/K22</f>
        <v>0.627956629128815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0.489249515457694</v>
      </c>
      <c r="C55" s="31" t="n">
        <f aca="false">(C22-C20)/C16</f>
        <v>0.518497316043176</v>
      </c>
      <c r="D55" s="31" t="n">
        <f aca="false">(D22-D20)/D16</f>
        <v>0.524347929083185</v>
      </c>
      <c r="E55" s="31" t="n">
        <f aca="false">(E22-E20)/E16</f>
        <v>0.484812553963698</v>
      </c>
      <c r="G55" s="29" t="s">
        <v>66</v>
      </c>
      <c r="H55" s="63" t="n">
        <f aca="false">H22/H11</f>
        <v>0.0625425533393082</v>
      </c>
      <c r="I55" s="63" t="n">
        <f aca="false">I22/I11</f>
        <v>0.0576984240240039</v>
      </c>
      <c r="J55" s="63" t="n">
        <f aca="false">J22/J11</f>
        <v>0.0512900952900691</v>
      </c>
      <c r="K55" s="63" t="n">
        <f aca="false">K22/K11</f>
        <v>0.0509977187984035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0.957903184166571</v>
      </c>
      <c r="C56" s="31" t="n">
        <f aca="false">(C22-C20)/C20</f>
        <v>1.07683162175202</v>
      </c>
      <c r="D56" s="31" t="n">
        <f aca="false">(D22-D20)/D20</f>
        <v>1.1023770548765</v>
      </c>
      <c r="E56" s="31" t="n">
        <f aca="false">(E22-E20)/E20</f>
        <v>0.941041086489393</v>
      </c>
      <c r="G56" s="33" t="s">
        <v>68</v>
      </c>
      <c r="H56" s="34" t="n">
        <f aca="false">H13/B16</f>
        <v>0.200047659898961</v>
      </c>
      <c r="I56" s="34" t="n">
        <f aca="false">I13/C16</f>
        <v>0.188427873327194</v>
      </c>
      <c r="J56" s="34" t="n">
        <f aca="false">J13/D16</f>
        <v>0.172295284118089</v>
      </c>
      <c r="K56" s="34" t="n">
        <f aca="false">K13/E16</f>
        <v>0.184864402230446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1.8293394338004</v>
      </c>
      <c r="C57" s="30" t="n">
        <f aca="false">I11/C16</f>
        <v>1.77906264778356</v>
      </c>
      <c r="D57" s="30" t="n">
        <f aca="false">J11/D16</f>
        <v>1.82046667590971</v>
      </c>
      <c r="E57" s="30" t="n">
        <f aca="false">K11/E16</f>
        <v>2.0195751460321</v>
      </c>
      <c r="G57" s="33" t="s">
        <v>70</v>
      </c>
      <c r="H57" s="35" t="n">
        <f aca="false">H25/$B$5</f>
        <v>57.2409845449342</v>
      </c>
      <c r="I57" s="35" t="n">
        <f aca="false">I25/$B$5</f>
        <v>57.2409845449342</v>
      </c>
      <c r="J57" s="35" t="n">
        <f aca="false">J25/$B$5</f>
        <v>42.9307384087006</v>
      </c>
      <c r="K57" s="35" t="n">
        <f aca="false">K25/$B$5</f>
        <v>42.9307384087006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1.95790318416657</v>
      </c>
      <c r="C58" s="30" t="n">
        <f aca="false">C16/C20</f>
        <v>2.07683162175202</v>
      </c>
      <c r="D58" s="30" t="n">
        <f aca="false">D16/D20</f>
        <v>2.10237705487649</v>
      </c>
      <c r="E58" s="30" t="n">
        <f aca="false">E16/E20</f>
        <v>1.94104108648939</v>
      </c>
      <c r="G58" s="36" t="s">
        <v>72</v>
      </c>
      <c r="H58" s="37" t="n">
        <f aca="false">H22/$B$7/1000</f>
        <v>3.600875</v>
      </c>
      <c r="I58" s="37" t="n">
        <f aca="false">I22/$B$7/1000</f>
        <v>3.0931</v>
      </c>
      <c r="J58" s="37" t="n">
        <f aca="false">J22/$B$7/1000</f>
        <v>2.5423</v>
      </c>
      <c r="K58" s="37" t="n">
        <f aca="false">K22/$B$7/1000</f>
        <v>2.3887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16.07485</v>
      </c>
      <c r="I59" s="37" t="n">
        <f aca="false">C20/$B$7/1000</f>
        <v>14.509</v>
      </c>
      <c r="J59" s="37" t="n">
        <f aca="false">D20/$B$7/1000</f>
        <v>12.9509</v>
      </c>
      <c r="K59" s="37" t="n">
        <f aca="false">E20/$B$7/1000</f>
        <v>11.948575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36.0884929528704</v>
      </c>
      <c r="I60" s="38" t="n">
        <f aca="false">SQRT(22.5*I58*I59)</f>
        <v>31.776567274487</v>
      </c>
      <c r="J60" s="38" t="n">
        <f aca="false">SQRT(22.5*J58*J59)</f>
        <v>27.2179011695428</v>
      </c>
      <c r="K60" s="38" t="n">
        <f aca="false">SQRT(22.5*K58*K59)</f>
        <v>25.3413718019812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2.314887</v>
      </c>
      <c r="I61" s="39" t="n">
        <f aca="false">I58-(C20*0.08/1000/$B$7)</f>
        <v>1.93238</v>
      </c>
      <c r="J61" s="39" t="n">
        <f aca="false">J58-(D20*0.08/1000/$B$7)</f>
        <v>1.506228</v>
      </c>
      <c r="K61" s="39" t="n">
        <f aca="false">K58-(E20*0.08/1000/$B$7)</f>
        <v>1.432814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2</v>
      </c>
      <c r="I62" s="41" t="n">
        <f aca="false">I25/$B$7/1000</f>
        <v>2</v>
      </c>
      <c r="J62" s="41" t="n">
        <f aca="false">J25/$B$7/1000</f>
        <v>1.5</v>
      </c>
      <c r="K62" s="41" t="n">
        <f aca="false">K25/$B$7/1000</f>
        <v>1.5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5.5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0.460070120206068</v>
      </c>
      <c r="I74" s="6" t="n">
        <f aca="false">I59*$B$7/$B$5</f>
        <v>0.415254722381225</v>
      </c>
      <c r="J74" s="6" t="n">
        <f aca="false">J59*$B$7/$B$5</f>
        <v>0.370661133371494</v>
      </c>
      <c r="K74" s="6" t="n">
        <f aca="false">K59*$B$7/$B$5</f>
        <v>0.341974098454493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0.0818654127402109</v>
      </c>
      <c r="I77" s="28" t="n">
        <f aca="false">(I15-I16)/$B$6</f>
        <v>0.0724524439837893</v>
      </c>
      <c r="J77" s="28" t="n">
        <f aca="false">(J15-J16)/$B$6</f>
        <v>0.0587176590521575</v>
      </c>
      <c r="K77" s="28" t="n">
        <f aca="false">(K15-K16)/$B$6</f>
        <v>0.0544289218364235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1.8513513513513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3" t="n">
        <v>9582300</v>
      </c>
      <c r="C5" s="6" t="n">
        <f aca="false">H11/1000/B7</f>
        <v>32.8508238095238</v>
      </c>
      <c r="D5" s="6" t="n">
        <f aca="false">35/C5</f>
        <v>1.06542229208429</v>
      </c>
      <c r="G5" s="6"/>
      <c r="M5" s="6"/>
    </row>
    <row r="6" customFormat="false" ht="15" hidden="false" customHeight="false" outlineLevel="0" collapsed="false">
      <c r="A6" s="2" t="s">
        <v>1</v>
      </c>
      <c r="B6" s="75" t="n">
        <f aca="false">B5+(B22-B20)-N23</f>
        <v>13672521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210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42094</v>
      </c>
      <c r="C10" s="22" t="n">
        <v>41729</v>
      </c>
      <c r="D10" s="22" t="n">
        <v>41364</v>
      </c>
      <c r="E10" s="22" t="n">
        <v>40999</v>
      </c>
      <c r="G10" s="21" t="s">
        <v>4</v>
      </c>
      <c r="H10" s="22" t="n">
        <v>42094</v>
      </c>
      <c r="I10" s="22" t="n">
        <v>41729</v>
      </c>
      <c r="J10" s="22" t="n">
        <v>41364</v>
      </c>
      <c r="K10" s="22" t="n">
        <v>40999</v>
      </c>
      <c r="M10" s="21" t="s">
        <v>5</v>
      </c>
      <c r="N10" s="22" t="n">
        <v>42094</v>
      </c>
      <c r="O10" s="22" t="n">
        <v>41729</v>
      </c>
      <c r="P10" s="22" t="n">
        <v>41364</v>
      </c>
      <c r="Q10" s="22" t="n">
        <v>40999</v>
      </c>
    </row>
    <row r="11" customFormat="false" ht="15" hidden="false" customHeight="false" outlineLevel="0" collapsed="false">
      <c r="A11" s="25" t="s">
        <v>6</v>
      </c>
      <c r="B11" s="56" t="n">
        <v>1444020</v>
      </c>
      <c r="C11" s="56" t="n">
        <v>978100</v>
      </c>
      <c r="D11" s="56" t="n">
        <v>799162</v>
      </c>
      <c r="E11" s="56" t="n">
        <v>655137</v>
      </c>
      <c r="G11" s="25" t="s">
        <v>7</v>
      </c>
      <c r="H11" s="56" t="n">
        <v>6898673</v>
      </c>
      <c r="I11" s="56" t="n">
        <v>5482386</v>
      </c>
      <c r="J11" s="56" t="n">
        <v>4658532</v>
      </c>
      <c r="K11" s="56" t="n">
        <v>3202667</v>
      </c>
      <c r="M11" s="25" t="s">
        <v>8</v>
      </c>
      <c r="N11" s="56" t="n">
        <v>802952</v>
      </c>
      <c r="O11" s="56" t="n">
        <v>771353</v>
      </c>
      <c r="P11" s="56" t="n">
        <v>619692</v>
      </c>
      <c r="Q11" s="56" t="n">
        <v>447381</v>
      </c>
    </row>
    <row r="12" customFormat="false" ht="15" hidden="false" customHeight="false" outlineLevel="0" collapsed="false">
      <c r="A12" s="25" t="s">
        <v>9</v>
      </c>
      <c r="B12" s="56" t="n">
        <v>2016265</v>
      </c>
      <c r="C12" s="56" t="n">
        <v>1534193</v>
      </c>
      <c r="D12" s="56" t="n">
        <v>1103490</v>
      </c>
      <c r="E12" s="56" t="n">
        <v>745960</v>
      </c>
      <c r="G12" s="25" t="s">
        <v>10</v>
      </c>
      <c r="H12" s="56" t="n">
        <v>5111496</v>
      </c>
      <c r="I12" s="56" t="n">
        <v>4084411</v>
      </c>
      <c r="J12" s="56" t="n">
        <v>3528168</v>
      </c>
      <c r="K12" s="56" t="n">
        <v>1755304</v>
      </c>
      <c r="M12" s="25" t="s">
        <v>11</v>
      </c>
      <c r="N12" s="56" t="n">
        <v>288908</v>
      </c>
      <c r="O12" s="56" t="n">
        <v>225756</v>
      </c>
      <c r="P12" s="56" t="n">
        <v>173705</v>
      </c>
      <c r="Q12" s="56" t="n">
        <v>113776</v>
      </c>
    </row>
    <row r="13" customFormat="false" ht="15" hidden="false" customHeight="false" outlineLevel="0" collapsed="false">
      <c r="A13" s="25" t="s">
        <v>12</v>
      </c>
      <c r="B13" s="56" t="n">
        <v>318467</v>
      </c>
      <c r="C13" s="56" t="n">
        <v>260092</v>
      </c>
      <c r="D13" s="56" t="n">
        <v>239499</v>
      </c>
      <c r="E13" s="56" t="n">
        <v>244691</v>
      </c>
      <c r="G13" s="25" t="s">
        <v>13</v>
      </c>
      <c r="H13" s="56" t="n">
        <v>1787177</v>
      </c>
      <c r="I13" s="56" t="n">
        <v>1397975</v>
      </c>
      <c r="J13" s="56" t="n">
        <v>1130364</v>
      </c>
      <c r="K13" s="56" t="n">
        <v>1447363</v>
      </c>
      <c r="M13" s="25" t="s">
        <v>14</v>
      </c>
      <c r="N13" s="57"/>
      <c r="O13" s="57"/>
      <c r="P13" s="57"/>
      <c r="Q13" s="57"/>
    </row>
    <row r="14" customFormat="false" ht="15" hidden="false" customHeight="false" outlineLevel="0" collapsed="false">
      <c r="A14" s="25" t="s">
        <v>15</v>
      </c>
      <c r="B14" s="56" t="n">
        <v>2046974</v>
      </c>
      <c r="C14" s="56" t="n">
        <v>1615781</v>
      </c>
      <c r="D14" s="56" t="n">
        <v>1349653</v>
      </c>
      <c r="E14" s="56" t="n">
        <v>790049</v>
      </c>
      <c r="G14" s="25" t="s">
        <v>16</v>
      </c>
      <c r="H14" s="56" t="n">
        <v>86278</v>
      </c>
      <c r="I14" s="56" t="n">
        <v>143780</v>
      </c>
      <c r="J14" s="56" t="n">
        <v>98573</v>
      </c>
      <c r="K14" s="56" t="n">
        <v>76195</v>
      </c>
      <c r="M14" s="25" t="s">
        <v>9</v>
      </c>
      <c r="N14" s="58" t="n">
        <v>-480939</v>
      </c>
      <c r="O14" s="58" t="n">
        <v>-429810</v>
      </c>
      <c r="P14" s="58" t="n">
        <v>-276915</v>
      </c>
      <c r="Q14" s="58" t="n">
        <v>-147408</v>
      </c>
    </row>
    <row r="15" customFormat="false" ht="15" hidden="false" customHeight="false" outlineLevel="0" collapsed="false">
      <c r="A15" s="25" t="s">
        <v>17</v>
      </c>
      <c r="B15" s="56" t="n">
        <v>943899</v>
      </c>
      <c r="C15" s="56" t="n">
        <v>627752</v>
      </c>
      <c r="D15" s="56" t="n">
        <v>578479</v>
      </c>
      <c r="E15" s="56" t="n">
        <v>139579</v>
      </c>
      <c r="G15" s="25" t="s">
        <v>18</v>
      </c>
      <c r="H15" s="56" t="n">
        <v>1873455</v>
      </c>
      <c r="I15" s="56" t="n">
        <v>1541755</v>
      </c>
      <c r="J15" s="56" t="n">
        <v>1228937</v>
      </c>
      <c r="K15" s="56" t="n">
        <v>1523558</v>
      </c>
      <c r="M15" s="25" t="s">
        <v>19</v>
      </c>
      <c r="N15" s="58" t="n">
        <v>-123729</v>
      </c>
      <c r="O15" s="58" t="n">
        <v>-218095</v>
      </c>
      <c r="P15" s="58" t="n">
        <v>-131133</v>
      </c>
      <c r="Q15" s="56" t="n">
        <v>40449</v>
      </c>
    </row>
    <row r="16" customFormat="false" ht="15" hidden="false" customHeight="false" outlineLevel="0" collapsed="false">
      <c r="A16" s="25" t="s">
        <v>20</v>
      </c>
      <c r="B16" s="56" t="n">
        <v>6769625</v>
      </c>
      <c r="C16" s="56" t="n">
        <v>5015918</v>
      </c>
      <c r="D16" s="56" t="n">
        <v>4070283</v>
      </c>
      <c r="E16" s="56" t="n">
        <v>2575416</v>
      </c>
      <c r="G16" s="25" t="s">
        <v>21</v>
      </c>
      <c r="H16" s="56" t="n">
        <v>652415</v>
      </c>
      <c r="I16" s="56" t="n">
        <v>452021</v>
      </c>
      <c r="J16" s="56" t="n">
        <v>372723</v>
      </c>
      <c r="K16" s="56" t="n">
        <v>907938</v>
      </c>
      <c r="M16" s="25" t="s">
        <v>22</v>
      </c>
      <c r="N16" s="56" t="n">
        <v>20340</v>
      </c>
      <c r="O16" s="56" t="n">
        <v>145772</v>
      </c>
      <c r="P16" s="56" t="n">
        <v>54548</v>
      </c>
      <c r="Q16" s="58" t="n">
        <v>-42581</v>
      </c>
    </row>
    <row r="17" customFormat="false" ht="15" hidden="false" customHeight="false" outlineLevel="0" collapsed="false">
      <c r="A17" s="25" t="s">
        <v>23</v>
      </c>
      <c r="B17" s="56" t="n">
        <v>2110526</v>
      </c>
      <c r="C17" s="56" t="n">
        <v>1927053</v>
      </c>
      <c r="D17" s="56" t="n">
        <v>1089733</v>
      </c>
      <c r="E17" s="56" t="n">
        <v>788549</v>
      </c>
      <c r="G17" s="25" t="s">
        <v>11</v>
      </c>
      <c r="H17" s="56" t="n">
        <v>288908</v>
      </c>
      <c r="I17" s="56" t="n">
        <v>225756</v>
      </c>
      <c r="J17" s="56" t="n">
        <v>173705</v>
      </c>
      <c r="K17" s="56" t="n">
        <v>113776</v>
      </c>
      <c r="M17" s="25" t="s">
        <v>24</v>
      </c>
      <c r="N17" s="58" t="n">
        <v>-268947</v>
      </c>
      <c r="O17" s="56" t="n">
        <v>246694</v>
      </c>
      <c r="P17" s="58" t="n">
        <v>-93840</v>
      </c>
      <c r="Q17" s="58" t="n">
        <v>-9677</v>
      </c>
    </row>
    <row r="18" customFormat="false" ht="15" hidden="false" customHeight="false" outlineLevel="0" collapsed="false">
      <c r="A18" s="25" t="s">
        <v>25</v>
      </c>
      <c r="B18" s="56" t="n">
        <v>2242217</v>
      </c>
      <c r="C18" s="56" t="n">
        <v>663119</v>
      </c>
      <c r="D18" s="56" t="n">
        <v>958657</v>
      </c>
      <c r="E18" s="56" t="n">
        <v>384667</v>
      </c>
      <c r="G18" s="25" t="s">
        <v>26</v>
      </c>
      <c r="H18" s="56" t="n">
        <v>109473</v>
      </c>
      <c r="I18" s="56" t="n">
        <v>50667</v>
      </c>
      <c r="J18" s="56" t="n">
        <v>32120</v>
      </c>
      <c r="K18" s="56" t="n">
        <v>18605</v>
      </c>
      <c r="M18" s="25" t="s">
        <v>27</v>
      </c>
      <c r="N18" s="58" t="n">
        <v>-621574</v>
      </c>
      <c r="O18" s="58" t="n">
        <v>-376323</v>
      </c>
      <c r="P18" s="58" t="n">
        <v>-494202</v>
      </c>
      <c r="Q18" s="58" t="n">
        <v>-298197</v>
      </c>
    </row>
    <row r="19" customFormat="false" ht="15" hidden="false" customHeight="false" outlineLevel="0" collapsed="false">
      <c r="A19" s="25" t="s">
        <v>28</v>
      </c>
      <c r="B19" s="56" t="n">
        <v>17436</v>
      </c>
      <c r="C19" s="57"/>
      <c r="D19" s="57"/>
      <c r="E19" s="57"/>
      <c r="G19" s="25" t="s">
        <v>29</v>
      </c>
      <c r="H19" s="56" t="n">
        <v>1050796</v>
      </c>
      <c r="I19" s="56" t="n">
        <v>728444</v>
      </c>
      <c r="J19" s="56" t="n">
        <v>578548</v>
      </c>
      <c r="K19" s="56" t="n">
        <v>1040319</v>
      </c>
      <c r="M19" s="25" t="s">
        <v>30</v>
      </c>
      <c r="N19" s="58" t="n">
        <v>-466392</v>
      </c>
      <c r="O19" s="58" t="n">
        <v>-65722</v>
      </c>
      <c r="P19" s="58" t="n">
        <v>-686004</v>
      </c>
      <c r="Q19" s="58" t="n">
        <v>-17426</v>
      </c>
    </row>
    <row r="20" customFormat="false" ht="15" hidden="false" customHeight="false" outlineLevel="0" collapsed="false">
      <c r="A20" s="25" t="s">
        <v>31</v>
      </c>
      <c r="B20" s="56" t="n">
        <v>2399446</v>
      </c>
      <c r="C20" s="56" t="n">
        <v>2425746</v>
      </c>
      <c r="D20" s="56" t="n">
        <v>2021893</v>
      </c>
      <c r="E20" s="56" t="n">
        <v>1402200</v>
      </c>
      <c r="G20" s="25" t="s">
        <v>32</v>
      </c>
      <c r="H20" s="56" t="n">
        <v>822659</v>
      </c>
      <c r="I20" s="56" t="n">
        <v>813311</v>
      </c>
      <c r="J20" s="56" t="n">
        <v>650389</v>
      </c>
      <c r="K20" s="56" t="n">
        <v>483239</v>
      </c>
      <c r="M20" s="25" t="s">
        <v>33</v>
      </c>
      <c r="N20" s="56" t="n">
        <v>1853579</v>
      </c>
      <c r="O20" s="56" t="n">
        <v>28722</v>
      </c>
      <c r="P20" s="56" t="n">
        <v>770835</v>
      </c>
      <c r="Q20" s="56" t="n">
        <v>153299</v>
      </c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6" t="n">
        <v>19707</v>
      </c>
      <c r="I21" s="56" t="n">
        <v>41958</v>
      </c>
      <c r="J21" s="56" t="n">
        <v>30697</v>
      </c>
      <c r="K21" s="56" t="n">
        <v>35858</v>
      </c>
      <c r="M21" s="25" t="s">
        <v>36</v>
      </c>
      <c r="N21" s="58" t="n">
        <v>-825247</v>
      </c>
      <c r="O21" s="58" t="n">
        <v>-361507</v>
      </c>
      <c r="P21" s="58" t="n">
        <v>-566</v>
      </c>
      <c r="Q21" s="58" t="n">
        <v>-148894</v>
      </c>
    </row>
    <row r="22" customFormat="false" ht="15" hidden="false" customHeight="false" outlineLevel="0" collapsed="false">
      <c r="A22" s="25" t="s">
        <v>37</v>
      </c>
      <c r="B22" s="56" t="n">
        <v>6769625</v>
      </c>
      <c r="C22" s="56" t="n">
        <v>5015918</v>
      </c>
      <c r="D22" s="56" t="n">
        <v>4070283</v>
      </c>
      <c r="E22" s="56" t="n">
        <v>2575416</v>
      </c>
      <c r="G22" s="25" t="s">
        <v>8</v>
      </c>
      <c r="H22" s="56" t="n">
        <v>802952</v>
      </c>
      <c r="I22" s="56" t="n">
        <v>771353</v>
      </c>
      <c r="J22" s="56" t="n">
        <v>619692</v>
      </c>
      <c r="K22" s="56" t="n">
        <v>447381</v>
      </c>
      <c r="M22" s="25" t="s">
        <v>38</v>
      </c>
      <c r="N22" s="56" t="n">
        <v>101007</v>
      </c>
      <c r="O22" s="56" t="n">
        <v>134167</v>
      </c>
      <c r="P22" s="56" t="n">
        <v>198046</v>
      </c>
      <c r="Q22" s="56" t="n">
        <v>107325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6" t="n">
        <v>250384</v>
      </c>
      <c r="M23" s="25" t="s">
        <v>40</v>
      </c>
      <c r="N23" s="56" t="n">
        <v>279958</v>
      </c>
      <c r="O23" s="56" t="n">
        <v>101007</v>
      </c>
      <c r="P23" s="56" t="n">
        <v>134166</v>
      </c>
      <c r="Q23" s="56" t="n">
        <v>198047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6" t="n">
        <v>44738</v>
      </c>
      <c r="M24" s="2" t="s">
        <v>42</v>
      </c>
      <c r="N24" s="12" t="n">
        <f aca="false">SUM(N11:N17)</f>
        <v>238585</v>
      </c>
      <c r="O24" s="12" t="n">
        <f aca="false">SUM(O11:O17)</f>
        <v>741670</v>
      </c>
      <c r="P24" s="12" t="n">
        <f aca="false">SUM(P11:P17)</f>
        <v>346057</v>
      </c>
      <c r="Q24" s="12" t="n">
        <f aca="false">SUM(Q11:Q17)</f>
        <v>401940</v>
      </c>
    </row>
    <row r="25" customFormat="false" ht="15" hidden="false" customHeight="false" outlineLevel="0" collapsed="false">
      <c r="G25" s="25" t="s">
        <v>43</v>
      </c>
      <c r="H25" s="57"/>
      <c r="I25" s="57"/>
      <c r="J25" s="57"/>
      <c r="K25" s="56" t="n">
        <v>140000</v>
      </c>
      <c r="M25" s="2" t="s">
        <v>44</v>
      </c>
      <c r="N25" s="12" t="n">
        <f aca="false">N18+N19</f>
        <v>-1087966</v>
      </c>
      <c r="O25" s="12" t="n">
        <f aca="false">O18+O19</f>
        <v>-442045</v>
      </c>
      <c r="P25" s="12" t="n">
        <f aca="false">P18+P19</f>
        <v>-1180206</v>
      </c>
      <c r="Q25" s="12" t="n">
        <f aca="false">Q18+Q19</f>
        <v>-315623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1028332</v>
      </c>
      <c r="O26" s="12" t="n">
        <f aca="false">O20+O21</f>
        <v>-332785</v>
      </c>
      <c r="P26" s="12" t="n">
        <f aca="false">P20+P21</f>
        <v>770269</v>
      </c>
      <c r="Q26" s="12" t="n">
        <f aca="false">Q20+Q21</f>
        <v>4405</v>
      </c>
    </row>
    <row r="27" customFormat="false" ht="15" hidden="false" customHeight="false" outlineLevel="0" collapsed="false">
      <c r="G27" s="25" t="s">
        <v>47</v>
      </c>
      <c r="H27" s="57"/>
      <c r="I27" s="57"/>
      <c r="J27" s="57"/>
      <c r="K27" s="56" t="n">
        <v>513027</v>
      </c>
      <c r="M27" s="2" t="s">
        <v>48</v>
      </c>
      <c r="N27" s="12" t="n">
        <f aca="false">N24+N25+N26</f>
        <v>178951</v>
      </c>
      <c r="O27" s="12" t="n">
        <f aca="false">O24+O25+O26</f>
        <v>-33160</v>
      </c>
      <c r="P27" s="12" t="n">
        <f aca="false">P24+P25+P26</f>
        <v>-63880</v>
      </c>
      <c r="Q27" s="12" t="n">
        <f aca="false">Q24+Q25+Q26</f>
        <v>90722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0.213308713555034</v>
      </c>
      <c r="C30" s="24" t="n">
        <f aca="false">C11/C$16</f>
        <v>0.194999200545144</v>
      </c>
      <c r="D30" s="24" t="n">
        <f aca="false">D11/D$16</f>
        <v>0.196340647566766</v>
      </c>
      <c r="E30" s="24" t="n">
        <f aca="false">E11/E$16</f>
        <v>0.254381039800949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0.116392239493016</v>
      </c>
      <c r="O30" s="26" t="n">
        <f aca="false">O11/I$11</f>
        <v>0.140696587215858</v>
      </c>
      <c r="P30" s="26" t="n">
        <f aca="false">P11/J$11</f>
        <v>0.13302302098601</v>
      </c>
      <c r="Q30" s="26" t="n">
        <f aca="false">Q11/K$11</f>
        <v>0.139690139499361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0.297839983750946</v>
      </c>
      <c r="C31" s="24" t="n">
        <f aca="false">C12/C$16</f>
        <v>0.305864848667781</v>
      </c>
      <c r="D31" s="24" t="n">
        <f aca="false">D12/D$16</f>
        <v>0.27110891306575</v>
      </c>
      <c r="E31" s="24" t="n">
        <f aca="false">E12/E$16</f>
        <v>0.28964641052164</v>
      </c>
      <c r="F31" s="6"/>
      <c r="G31" s="25" t="s">
        <v>10</v>
      </c>
      <c r="H31" s="24" t="n">
        <f aca="false">H12/H$11</f>
        <v>0.740939018272065</v>
      </c>
      <c r="I31" s="24" t="n">
        <f aca="false">I12/I$11</f>
        <v>0.745006097710012</v>
      </c>
      <c r="J31" s="24" t="n">
        <f aca="false">J12/J$11</f>
        <v>0.757356180015507</v>
      </c>
      <c r="K31" s="24" t="n">
        <f aca="false">K12/K$11</f>
        <v>0.548075713147823</v>
      </c>
      <c r="L31" s="6"/>
      <c r="M31" s="25" t="s">
        <v>11</v>
      </c>
      <c r="N31" s="26" t="n">
        <f aca="false">N12/H$11</f>
        <v>0.0418787787158487</v>
      </c>
      <c r="O31" s="26" t="n">
        <f aca="false">O12/I$11</f>
        <v>0.0411784212202497</v>
      </c>
      <c r="P31" s="26" t="n">
        <f aca="false">P12/J$11</f>
        <v>0.0372874974348142</v>
      </c>
      <c r="Q31" s="26" t="n">
        <f aca="false">Q12/K$11</f>
        <v>0.0355253918062665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0.0470435216130879</v>
      </c>
      <c r="C32" s="24" t="n">
        <f aca="false">C13/C$16</f>
        <v>0.0518533197711765</v>
      </c>
      <c r="D32" s="24" t="n">
        <f aca="false">D13/D$16</f>
        <v>0.0588408717526521</v>
      </c>
      <c r="E32" s="24" t="n">
        <f aca="false">E13/E$16</f>
        <v>0.0950102818340804</v>
      </c>
      <c r="F32" s="6"/>
      <c r="G32" s="25" t="s">
        <v>13</v>
      </c>
      <c r="H32" s="24" t="n">
        <f aca="false">H13/H$11</f>
        <v>0.259060981727935</v>
      </c>
      <c r="I32" s="24" t="n">
        <f aca="false">I13/I$11</f>
        <v>0.254993902289988</v>
      </c>
      <c r="J32" s="24" t="n">
        <f aca="false">J13/J$11</f>
        <v>0.242643819984493</v>
      </c>
      <c r="K32" s="24" t="n">
        <f aca="false">K13/K$11</f>
        <v>0.451924286852177</v>
      </c>
      <c r="L32" s="6"/>
      <c r="M32" s="25" t="s">
        <v>14</v>
      </c>
      <c r="N32" s="26" t="n">
        <f aca="false">N13/H$11</f>
        <v>0</v>
      </c>
      <c r="O32" s="26" t="n">
        <f aca="false">O13/I$11</f>
        <v>0</v>
      </c>
      <c r="P32" s="26" t="n">
        <f aca="false">P13/J$11</f>
        <v>0</v>
      </c>
      <c r="Q32" s="26" t="n">
        <f aca="false">Q13/K$11</f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0.302376276381631</v>
      </c>
      <c r="C33" s="24" t="n">
        <f aca="false">C14/C$16</f>
        <v>0.322130664815493</v>
      </c>
      <c r="D33" s="24" t="n">
        <f aca="false">D14/D$16</f>
        <v>0.331587017413777</v>
      </c>
      <c r="E33" s="24" t="n">
        <f aca="false">E14/E$16</f>
        <v>0.306765586608144</v>
      </c>
      <c r="F33" s="6"/>
      <c r="G33" s="25" t="s">
        <v>16</v>
      </c>
      <c r="H33" s="24" t="n">
        <f aca="false">H14/H$11</f>
        <v>0.0125064631995168</v>
      </c>
      <c r="I33" s="24" t="n">
        <f aca="false">I14/I$11</f>
        <v>0.0262258075224911</v>
      </c>
      <c r="J33" s="24" t="n">
        <f aca="false">J14/J$11</f>
        <v>0.0211596700419789</v>
      </c>
      <c r="K33" s="24" t="n">
        <f aca="false">K14/K$11</f>
        <v>0.0237911090975115</v>
      </c>
      <c r="L33" s="6"/>
      <c r="M33" s="25" t="s">
        <v>9</v>
      </c>
      <c r="N33" s="26" t="n">
        <f aca="false">N14/H$11</f>
        <v>-0.0697147118003709</v>
      </c>
      <c r="O33" s="26" t="n">
        <f aca="false">O14/I$11</f>
        <v>-0.0783983469970921</v>
      </c>
      <c r="P33" s="26" t="n">
        <f aca="false">P14/J$11</f>
        <v>-0.0594425454198876</v>
      </c>
      <c r="Q33" s="26" t="n">
        <f aca="false">Q14/K$11</f>
        <v>-0.046026639672498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0.1394315046993</v>
      </c>
      <c r="C34" s="24" t="n">
        <f aca="false">C15/C$16</f>
        <v>0.125151966200404</v>
      </c>
      <c r="D34" s="24" t="n">
        <f aca="false">D15/D$16</f>
        <v>0.142122550201055</v>
      </c>
      <c r="E34" s="24" t="n">
        <f aca="false">E15/E$16</f>
        <v>0.0541966812351869</v>
      </c>
      <c r="F34" s="6"/>
      <c r="G34" s="25" t="s">
        <v>18</v>
      </c>
      <c r="H34" s="24" t="n">
        <f aca="false">H15/H$11</f>
        <v>0.271567444927452</v>
      </c>
      <c r="I34" s="24" t="n">
        <f aca="false">I15/I$11</f>
        <v>0.281219709812479</v>
      </c>
      <c r="J34" s="24" t="n">
        <f aca="false">J15/J$11</f>
        <v>0.263803490026472</v>
      </c>
      <c r="K34" s="24" t="n">
        <f aca="false">K15/K$11</f>
        <v>0.475715395949688</v>
      </c>
      <c r="L34" s="6"/>
      <c r="M34" s="25" t="s">
        <v>19</v>
      </c>
      <c r="N34" s="26" t="n">
        <f aca="false">N15/H$11</f>
        <v>-0.0179351884050744</v>
      </c>
      <c r="O34" s="26" t="n">
        <f aca="false">O15/I$11</f>
        <v>-0.0397810369426742</v>
      </c>
      <c r="P34" s="26" t="n">
        <f aca="false">P15/J$11</f>
        <v>-0.0281489962932529</v>
      </c>
      <c r="Q34" s="26" t="n">
        <f aca="false">Q15/K$11</f>
        <v>0.0126297863624286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0.0945710863524043</v>
      </c>
      <c r="I35" s="24" t="n">
        <f aca="false">I16/I$11</f>
        <v>0.0824496852282929</v>
      </c>
      <c r="J35" s="24" t="n">
        <f aca="false">J16/J$11</f>
        <v>0.0800086808462408</v>
      </c>
      <c r="K35" s="24" t="n">
        <f aca="false">K16/K$11</f>
        <v>0.283494350177524</v>
      </c>
      <c r="L35" s="6"/>
      <c r="M35" s="25" t="s">
        <v>22</v>
      </c>
      <c r="N35" s="26" t="n">
        <f aca="false">N16/H$11</f>
        <v>0.00294839311850265</v>
      </c>
      <c r="O35" s="26" t="n">
        <f aca="false">O16/I$11</f>
        <v>0.0265891529709874</v>
      </c>
      <c r="P35" s="26" t="n">
        <f aca="false">P16/J$11</f>
        <v>0.0117092680698555</v>
      </c>
      <c r="Q35" s="26" t="n">
        <f aca="false">Q16/K$11</f>
        <v>-0.0132954815470981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0.31176409328434</v>
      </c>
      <c r="C36" s="24" t="n">
        <f aca="false">C17/C$16</f>
        <v>0.384187500672858</v>
      </c>
      <c r="D36" s="24" t="n">
        <f aca="false">D17/D$16</f>
        <v>0.267729049798257</v>
      </c>
      <c r="E36" s="24" t="n">
        <f aca="false">E17/E$16</f>
        <v>0.306183156429874</v>
      </c>
      <c r="F36" s="6"/>
      <c r="G36" s="25" t="s">
        <v>11</v>
      </c>
      <c r="H36" s="24" t="n">
        <f aca="false">H17/H$11</f>
        <v>0.0418787787158487</v>
      </c>
      <c r="I36" s="24" t="n">
        <f aca="false">I17/I$11</f>
        <v>0.0411784212202497</v>
      </c>
      <c r="J36" s="24" t="n">
        <f aca="false">J17/J$11</f>
        <v>0.0372874974348142</v>
      </c>
      <c r="K36" s="24" t="n">
        <f aca="false">K17/K$11</f>
        <v>0.0355253918062665</v>
      </c>
      <c r="L36" s="6"/>
      <c r="M36" s="25" t="s">
        <v>24</v>
      </c>
      <c r="N36" s="26" t="n">
        <f aca="false">N17/H$11</f>
        <v>-0.03898532369921</v>
      </c>
      <c r="O36" s="26" t="n">
        <f aca="false">O17/I$11</f>
        <v>0.0449975612808</v>
      </c>
      <c r="P36" s="26" t="n">
        <f aca="false">P17/J$11</f>
        <v>-0.0201436847487578</v>
      </c>
      <c r="Q36" s="26" t="n">
        <f aca="false">Q17/K$11</f>
        <v>-0.00302154423172937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0.3312173126281</v>
      </c>
      <c r="C37" s="24" t="n">
        <f aca="false">C18/C$16</f>
        <v>0.132202918787747</v>
      </c>
      <c r="D37" s="24" t="n">
        <f aca="false">D18/D$16</f>
        <v>0.235525883581068</v>
      </c>
      <c r="E37" s="24" t="n">
        <f aca="false">E18/E$16</f>
        <v>0.149361112923116</v>
      </c>
      <c r="F37" s="6"/>
      <c r="G37" s="25" t="s">
        <v>26</v>
      </c>
      <c r="H37" s="24" t="n">
        <f aca="false">H18/H$11</f>
        <v>0.0158687040246726</v>
      </c>
      <c r="I37" s="24" t="n">
        <f aca="false">I18/I$11</f>
        <v>0.00924177903562427</v>
      </c>
      <c r="J37" s="24" t="n">
        <f aca="false">J18/J$11</f>
        <v>0.00689487589652706</v>
      </c>
      <c r="K37" s="24" t="n">
        <f aca="false">K18/K$11</f>
        <v>0.00580922087747493</v>
      </c>
      <c r="L37" s="6"/>
      <c r="M37" s="25" t="s">
        <v>27</v>
      </c>
      <c r="N37" s="26" t="n">
        <f aca="false">N18/H$11</f>
        <v>-0.0901005164326531</v>
      </c>
      <c r="O37" s="26" t="n">
        <f aca="false">O18/I$11</f>
        <v>-0.0686421933807652</v>
      </c>
      <c r="P37" s="26" t="n">
        <f aca="false">P18/J$11</f>
        <v>-0.106085350492387</v>
      </c>
      <c r="Q37" s="26" t="n">
        <f aca="false">Q18/K$11</f>
        <v>-0.0931089619994836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0.00257562272651735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0.152318569092926</v>
      </c>
      <c r="I38" s="24" t="n">
        <f aca="false">I19/I$11</f>
        <v>0.132869885484167</v>
      </c>
      <c r="J38" s="24" t="n">
        <f aca="false">J19/J$11</f>
        <v>0.124191054177582</v>
      </c>
      <c r="K38" s="24" t="n">
        <f aca="false">K19/K$11</f>
        <v>0.324828962861265</v>
      </c>
      <c r="L38" s="6"/>
      <c r="M38" s="25" t="s">
        <v>30</v>
      </c>
      <c r="N38" s="26" t="n">
        <f aca="false">N19/H$11</f>
        <v>-0.0676060453945273</v>
      </c>
      <c r="O38" s="26" t="n">
        <f aca="false">O19/I$11</f>
        <v>-0.0119878461677087</v>
      </c>
      <c r="P38" s="26" t="n">
        <f aca="false">P19/J$11</f>
        <v>-0.147257548085964</v>
      </c>
      <c r="Q38" s="26" t="n">
        <f aca="false">Q19/K$11</f>
        <v>-0.00544109019139361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0.354442971361043</v>
      </c>
      <c r="C39" s="24" t="n">
        <f aca="false">C20/C$16</f>
        <v>0.483609580539395</v>
      </c>
      <c r="D39" s="24" t="n">
        <f aca="false">D20/D$16</f>
        <v>0.496745066620675</v>
      </c>
      <c r="E39" s="24" t="n">
        <f aca="false">E20/E$16</f>
        <v>0.54445573064701</v>
      </c>
      <c r="F39" s="6"/>
      <c r="G39" s="25" t="s">
        <v>32</v>
      </c>
      <c r="H39" s="24" t="n">
        <f aca="false">H20/H$11</f>
        <v>0.119248875834526</v>
      </c>
      <c r="I39" s="24" t="n">
        <f aca="false">I20/I$11</f>
        <v>0.148349824328313</v>
      </c>
      <c r="J39" s="24" t="n">
        <f aca="false">J20/J$11</f>
        <v>0.13961243584889</v>
      </c>
      <c r="K39" s="24" t="n">
        <f aca="false">K20/K$11</f>
        <v>0.150886433088423</v>
      </c>
      <c r="L39" s="6"/>
      <c r="M39" s="25" t="s">
        <v>33</v>
      </c>
      <c r="N39" s="26" t="n">
        <f aca="false">N20/H$11</f>
        <v>0.268686311120994</v>
      </c>
      <c r="O39" s="26" t="n">
        <f aca="false">O20/I$11</f>
        <v>0.00523895982515642</v>
      </c>
      <c r="P39" s="26" t="n">
        <f aca="false">P20/J$11</f>
        <v>0.165467361821278</v>
      </c>
      <c r="Q39" s="26" t="n">
        <f aca="false">Q20/K$11</f>
        <v>0.0478660441438339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0.0028566363415109</v>
      </c>
      <c r="I40" s="24" t="n">
        <f aca="false">I21/I$11</f>
        <v>0.00765323711245432</v>
      </c>
      <c r="J40" s="24" t="n">
        <f aca="false">J21/J$11</f>
        <v>0.00658941486287955</v>
      </c>
      <c r="K40" s="24" t="n">
        <f aca="false">K21/K$11</f>
        <v>0.0111962935890619</v>
      </c>
      <c r="L40" s="6"/>
      <c r="M40" s="25" t="s">
        <v>36</v>
      </c>
      <c r="N40" s="26" t="n">
        <f aca="false">N21/H$11</f>
        <v>-0.119624020445671</v>
      </c>
      <c r="O40" s="26" t="n">
        <f aca="false">O21/I$11</f>
        <v>-0.065939720406407</v>
      </c>
      <c r="P40" s="26" t="n">
        <f aca="false">P21/J$11</f>
        <v>-0.000121497501788117</v>
      </c>
      <c r="Q40" s="26" t="n">
        <f aca="false">Q21/K$11</f>
        <v>-0.0464906279672535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0.116392239493016</v>
      </c>
      <c r="I41" s="24" t="n">
        <f aca="false">I22/I$11</f>
        <v>0.140696587215858</v>
      </c>
      <c r="J41" s="24" t="n">
        <f aca="false">J22/J$11</f>
        <v>0.13302302098601</v>
      </c>
      <c r="K41" s="24" t="n">
        <f aca="false">K22/K$11</f>
        <v>0.139690139499361</v>
      </c>
      <c r="L41" s="6"/>
      <c r="M41" s="25" t="s">
        <v>38</v>
      </c>
      <c r="N41" s="26" t="n">
        <f aca="false">N22/H$11</f>
        <v>0.0146415114906881</v>
      </c>
      <c r="O41" s="26" t="n">
        <f aca="false">O22/I$11</f>
        <v>0.0244723738897626</v>
      </c>
      <c r="P41" s="26" t="n">
        <f aca="false">P22/J$11</f>
        <v>0.0425125339913947</v>
      </c>
      <c r="Q41" s="26" t="n">
        <f aca="false">Q22/K$11</f>
        <v>0.0335111330650361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0.0781798419879432</v>
      </c>
      <c r="L42" s="6"/>
      <c r="M42" s="25" t="s">
        <v>40</v>
      </c>
      <c r="N42" s="26" t="n">
        <f aca="false">N23/H$11</f>
        <v>0.040581427761542</v>
      </c>
      <c r="O42" s="26" t="n">
        <f aca="false">O23/I$11</f>
        <v>0.0184239125081671</v>
      </c>
      <c r="P42" s="26" t="n">
        <f aca="false">P23/J$11</f>
        <v>0.0288000597613154</v>
      </c>
      <c r="Q42" s="26" t="n">
        <f aca="false">Q23/K$11</f>
        <v>0.0618381492674699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0.0139689827259593</v>
      </c>
      <c r="L43" s="6"/>
      <c r="M43" s="2" t="s">
        <v>49</v>
      </c>
      <c r="N43" s="26" t="n">
        <f aca="false">N24/H11</f>
        <v>0.0345841874227116</v>
      </c>
      <c r="O43" s="26" t="n">
        <f aca="false">O24/I11</f>
        <v>0.135282338748129</v>
      </c>
      <c r="P43" s="26" t="n">
        <f aca="false">P24/J11</f>
        <v>0.0742845600287816</v>
      </c>
      <c r="Q43" s="26" t="n">
        <f aca="false">Q24/K11</f>
        <v>0.125501652216731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0.0437135674736087</v>
      </c>
      <c r="L44" s="6"/>
      <c r="M44" s="2" t="s">
        <v>50</v>
      </c>
      <c r="N44" s="26" t="n">
        <f aca="false">N24/B16</f>
        <v>0.0352434588326532</v>
      </c>
      <c r="O44" s="26" t="n">
        <f aca="false">O24/C16</f>
        <v>0.147863262517449</v>
      </c>
      <c r="P44" s="26" t="n">
        <f aca="false">P24/D16</f>
        <v>0.0850203781899195</v>
      </c>
      <c r="Q44" s="26" t="n">
        <f aca="false">Q24/E16</f>
        <v>0.156067990569291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0.0994333692027243</v>
      </c>
      <c r="O45" s="26" t="n">
        <f aca="false">O24/C20</f>
        <v>0.305749241676581</v>
      </c>
      <c r="P45" s="26" t="n">
        <f aca="false">P24/D20</f>
        <v>0.171154952314489</v>
      </c>
      <c r="Q45" s="26" t="n">
        <f aca="false">Q24/E20</f>
        <v>0.286649550706033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0.160187431287736</v>
      </c>
      <c r="L46" s="6"/>
      <c r="M46" s="2" t="s">
        <v>52</v>
      </c>
      <c r="N46" s="26" t="n">
        <f aca="false">N24/H22</f>
        <v>0.297134822504957</v>
      </c>
      <c r="O46" s="26" t="n">
        <f aca="false">O24/I22</f>
        <v>0.961518267252477</v>
      </c>
      <c r="P46" s="26" t="n">
        <f aca="false">P24/J22</f>
        <v>0.558433867146905</v>
      </c>
      <c r="Q46" s="26" t="n">
        <f aca="false">Q24/K22</f>
        <v>0.89842885594158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0.0545938736147879</v>
      </c>
      <c r="O47" s="26" t="n">
        <f aca="false">O24/(C22-C20)</f>
        <v>0.286340057725896</v>
      </c>
      <c r="P47" s="26" t="n">
        <f aca="false">P24/(D22-D20)</f>
        <v>0.168940973154526</v>
      </c>
      <c r="Q47" s="26" t="n">
        <f aca="false">Q24/(E22-E20)</f>
        <v>0.342596759675968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n">
        <f aca="false">Q24/K25</f>
        <v>2.871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0.38384005766007</v>
      </c>
      <c r="O49" s="26" t="n">
        <f aca="false">O24/(O18*-1)</f>
        <v>1.97083356584636</v>
      </c>
      <c r="P49" s="26" t="n">
        <f aca="false">P24/(P18*-1)</f>
        <v>0.700233912448756</v>
      </c>
      <c r="Q49" s="26" t="n">
        <f aca="false">Q24/(Q18*-1)</f>
        <v>1.34790088431473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0.245612518995076</v>
      </c>
      <c r="I50" s="28" t="n">
        <f aca="false">LN(I13/J13)</f>
        <v>0.212485056214873</v>
      </c>
      <c r="J50" s="28" t="n">
        <f aca="false">LN(J13/K13)</f>
        <v>-0.247203575297234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0.684199104867697</v>
      </c>
      <c r="C51" s="30" t="n">
        <f aca="false">C11/C17</f>
        <v>0.507562583904023</v>
      </c>
      <c r="D51" s="30" t="n">
        <f aca="false">D11/D17</f>
        <v>0.73335578531622</v>
      </c>
      <c r="E51" s="30" t="n">
        <f aca="false">E11/E17</f>
        <v>0.830813303929115</v>
      </c>
      <c r="G51" s="29" t="s">
        <v>58</v>
      </c>
      <c r="H51" s="63" t="n">
        <f aca="false">H13/H11</f>
        <v>0.259060981727935</v>
      </c>
      <c r="I51" s="63" t="n">
        <f aca="false">I13/I11</f>
        <v>0.254993902289988</v>
      </c>
      <c r="J51" s="63" t="n">
        <f aca="false">J13/J11</f>
        <v>0.242643819984493</v>
      </c>
      <c r="K51" s="63" t="n">
        <f aca="false">K13/K11</f>
        <v>0.451924286852177</v>
      </c>
      <c r="M51" s="2" t="s">
        <v>59</v>
      </c>
      <c r="N51" s="32" t="n">
        <f aca="false">(N11-N24-N25)/B16</f>
        <v>0.244080432815702</v>
      </c>
      <c r="O51" s="32" t="n">
        <f aca="false">(O11-O24-O25)/C16</f>
        <v>0.0940461945350781</v>
      </c>
      <c r="P51" s="32" t="n">
        <f aca="false">(P11-P24-P25)/D16</f>
        <v>0.35718425475575</v>
      </c>
      <c r="Q51" s="32" t="n">
        <f aca="false">(Q11-Q24-Q25)/E16</f>
        <v>0.140196379924641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0.121522093173551</v>
      </c>
      <c r="C52" s="31" t="n">
        <f aca="false">I20/C16</f>
        <v>0.162145992019806</v>
      </c>
      <c r="D52" s="31" t="n">
        <f aca="false">J20/D16</f>
        <v>0.159789626421554</v>
      </c>
      <c r="E52" s="31" t="n">
        <f aca="false">K20/E16</f>
        <v>0.187635317944751</v>
      </c>
      <c r="F52" s="31"/>
      <c r="G52" s="29" t="s">
        <v>61</v>
      </c>
      <c r="H52" s="63" t="n">
        <f aca="false">H16/H11</f>
        <v>0.0945710863524043</v>
      </c>
      <c r="I52" s="63" t="n">
        <f aca="false">I16/I11</f>
        <v>0.0824496852282929</v>
      </c>
      <c r="J52" s="63" t="n">
        <f aca="false">J16/J11</f>
        <v>0.0800086808462408</v>
      </c>
      <c r="K52" s="63" t="n">
        <f aca="false">K16/K11</f>
        <v>0.283494350177524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0.342853725401614</v>
      </c>
      <c r="C53" s="31" t="n">
        <f aca="false">I20/C20</f>
        <v>0.335282836702606</v>
      </c>
      <c r="D53" s="31" t="n">
        <f aca="false">J20/D20</f>
        <v>0.321673303186667</v>
      </c>
      <c r="E53" s="31" t="n">
        <f aca="false">K20/E20</f>
        <v>0.344629154186279</v>
      </c>
      <c r="G53" s="29" t="s">
        <v>11</v>
      </c>
      <c r="H53" s="63" t="n">
        <f aca="false">H17/H11</f>
        <v>0.0418787787158487</v>
      </c>
      <c r="I53" s="63" t="n">
        <f aca="false">I17/I11</f>
        <v>0.0411784212202497</v>
      </c>
      <c r="J53" s="63" t="n">
        <f aca="false">J17/J11</f>
        <v>0.0372874974348142</v>
      </c>
      <c r="K53" s="63" t="n">
        <f aca="false">K17/K11</f>
        <v>0.0355253918062665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3.42151106129403</v>
      </c>
      <c r="C54" s="30" t="n">
        <f aca="false">I11/C12</f>
        <v>3.57346565914458</v>
      </c>
      <c r="D54" s="30" t="n">
        <f aca="false">J11/D12</f>
        <v>4.22163499442677</v>
      </c>
      <c r="E54" s="30" t="n">
        <f aca="false">K11/E12</f>
        <v>4.29334950935707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0.312932377548443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0.645557028638957</v>
      </c>
      <c r="C55" s="31" t="n">
        <f aca="false">(C22-C20)/C16</f>
        <v>0.516390419460605</v>
      </c>
      <c r="D55" s="31" t="n">
        <f aca="false">(D22-D20)/D16</f>
        <v>0.503254933379325</v>
      </c>
      <c r="E55" s="31" t="n">
        <f aca="false">(E22-E20)/E16</f>
        <v>0.45554426935299</v>
      </c>
      <c r="G55" s="29" t="s">
        <v>66</v>
      </c>
      <c r="H55" s="63" t="n">
        <f aca="false">H22/H11</f>
        <v>0.116392239493016</v>
      </c>
      <c r="I55" s="63" t="n">
        <f aca="false">I22/I11</f>
        <v>0.140696587215858</v>
      </c>
      <c r="J55" s="63" t="n">
        <f aca="false">J22/J11</f>
        <v>0.13302302098601</v>
      </c>
      <c r="K55" s="63" t="n">
        <f aca="false">K22/K11</f>
        <v>0.139690139499361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1.82132833995847</v>
      </c>
      <c r="C56" s="31" t="n">
        <f aca="false">(C22-C20)/C20</f>
        <v>1.06778368386468</v>
      </c>
      <c r="D56" s="31" t="n">
        <f aca="false">(D22-D20)/D20</f>
        <v>1.01310504561814</v>
      </c>
      <c r="E56" s="31" t="n">
        <f aca="false">(E22-E20)/E20</f>
        <v>0.836696619597775</v>
      </c>
      <c r="G56" s="33" t="s">
        <v>68</v>
      </c>
      <c r="H56" s="34" t="n">
        <f aca="false">H13/B16</f>
        <v>0.263999409125321</v>
      </c>
      <c r="I56" s="34" t="n">
        <f aca="false">I13/C16</f>
        <v>0.278707706146711</v>
      </c>
      <c r="J56" s="34" t="n">
        <f aca="false">J13/D16</f>
        <v>0.27771140237669</v>
      </c>
      <c r="K56" s="34" t="n">
        <f aca="false">K13/E16</f>
        <v>0.561991926741156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1.0190627988995</v>
      </c>
      <c r="C57" s="30" t="n">
        <f aca="false">I11/C16</f>
        <v>1.09299753305377</v>
      </c>
      <c r="D57" s="30" t="n">
        <f aca="false">J11/D16</f>
        <v>1.14452287469938</v>
      </c>
      <c r="E57" s="30" t="n">
        <f aca="false">K11/E16</f>
        <v>1.24355327450012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0.0146102710205274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2.82132833995847</v>
      </c>
      <c r="C58" s="30" t="n">
        <f aca="false">C16/C20</f>
        <v>2.06778368386467</v>
      </c>
      <c r="D58" s="30" t="n">
        <f aca="false">D16/D20</f>
        <v>2.01310504561814</v>
      </c>
      <c r="E58" s="30" t="n">
        <f aca="false">E16/E20</f>
        <v>1.83669661959778</v>
      </c>
      <c r="G58" s="36" t="s">
        <v>72</v>
      </c>
      <c r="H58" s="37" t="n">
        <f aca="false">H22/$B$7/1000</f>
        <v>3.82358095238095</v>
      </c>
      <c r="I58" s="37" t="n">
        <f aca="false">I22/$B$7/1000</f>
        <v>3.67310952380952</v>
      </c>
      <c r="J58" s="37" t="n">
        <f aca="false">J22/$B$7/1000</f>
        <v>2.95091428571429</v>
      </c>
      <c r="K58" s="37" t="n">
        <f aca="false">K22/$B$7/1000</f>
        <v>2.13038571428571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11.4259333333333</v>
      </c>
      <c r="I59" s="37" t="n">
        <f aca="false">C20/$B$7/1000</f>
        <v>11.5511714285714</v>
      </c>
      <c r="J59" s="37" t="n">
        <f aca="false">D20/$B$7/1000</f>
        <v>9.6280619047619</v>
      </c>
      <c r="K59" s="37" t="n">
        <f aca="false">E20/$B$7/1000</f>
        <v>6.67714285714286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31.3525050637334</v>
      </c>
      <c r="I60" s="38" t="n">
        <f aca="false">SQRT(22.5*I58*I59)</f>
        <v>30.8973485945388</v>
      </c>
      <c r="J60" s="38" t="n">
        <f aca="false">SQRT(22.5*J58*J59)</f>
        <v>25.2836048046224</v>
      </c>
      <c r="K60" s="38" t="n">
        <f aca="false">SQRT(22.5*K58*K59)</f>
        <v>17.8902213370823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2.90950628571429</v>
      </c>
      <c r="I61" s="39" t="n">
        <f aca="false">I58-(C20*0.08/1000/$B$7)</f>
        <v>2.74901580952381</v>
      </c>
      <c r="J61" s="39" t="n">
        <f aca="false">J58-(D20*0.08/1000/$B$7)</f>
        <v>2.18066933333333</v>
      </c>
      <c r="K61" s="39" t="n">
        <f aca="false">K58-(E20*0.08/1000/$B$7)</f>
        <v>1.59621428571429</v>
      </c>
      <c r="M61" s="6"/>
    </row>
    <row r="62" customFormat="false" ht="15" hidden="false" customHeight="false" outlineLevel="0" collapsed="false">
      <c r="G62" s="40" t="s">
        <v>76</v>
      </c>
      <c r="H62" s="77"/>
      <c r="I62" s="77" t="n">
        <v>2.25</v>
      </c>
      <c r="J62" s="77" t="n">
        <v>2.25</v>
      </c>
      <c r="K62" s="77" t="n">
        <v>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4.5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H59*$B$7*1000/$B$5</f>
        <v>0.250403973993718</v>
      </c>
      <c r="I74" s="6" t="n">
        <f aca="false">I59*$B$7*1000/$B$5</f>
        <v>0.253148617764002</v>
      </c>
      <c r="J74" s="6" t="n">
        <f aca="false">J59*$B$7*1000/$B$5</f>
        <v>0.21100289074648</v>
      </c>
      <c r="K74" s="6" t="n">
        <f aca="false">K59*$B$7*1000/$B$5</f>
        <v>0.146332300178454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0.089306134545341</v>
      </c>
      <c r="I77" s="28" t="n">
        <f aca="false">(I15-I16)/$B$6</f>
        <v>0.07970249232018</v>
      </c>
      <c r="J77" s="28" t="n">
        <f aca="false">(J15-J16)/$B$6</f>
        <v>0.0626229793320486</v>
      </c>
      <c r="K77" s="28" t="n">
        <f aca="false">(K15-K16)/$B$6</f>
        <v>0.0450260782192253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6002</v>
      </c>
      <c r="C1" s="1" t="n">
        <v>6002</v>
      </c>
      <c r="H1" s="6"/>
      <c r="O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IFERROR(__xludf.dummyfunction("GoogleFinance(""TADAWUL:""&amp;B1,""eps"")"),"3.21")</f>
        <v>3.21</v>
      </c>
      <c r="C2" s="0" t="str">
        <f aca="false">IFERROR(__xludf.dummyfunction("GoogleFinance(""TADAWUL:""&amp;B1,""eps"")"),"3.21")</f>
        <v>3.21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IFERROR(__xludf.dummyfunction("GoogleFinance(""TADAWUL:""&amp;B1,""marketcap"")/1000"),"3,215,719.27")</f>
        <v>3,215,719.27</v>
      </c>
      <c r="C5" s="3" t="str">
        <f aca="false">IFERROR(__xludf.dummyfunction("GoogleFinance(""TADAWUL:""&amp;B1,""marketcap"")/1000"),"3,215,719.27")</f>
        <v>3,215,719.27</v>
      </c>
      <c r="H5" s="6"/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3216185684</v>
      </c>
      <c r="C6" s="4" t="n">
        <f aca="false">C5*1000+(C22-C20)-Q23</f>
        <v>3216150137</v>
      </c>
      <c r="H6" s="6"/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IFERROR(__xludf.dummyfunction("GoogleFinance(""TADAWUL:""&amp;B1,""shares"")/1000000"),"64.44327")</f>
        <v>64.44327</v>
      </c>
      <c r="C7" s="5" t="str">
        <f aca="false">IFERROR(__xludf.dummyfunction("GoogleFinance(""TADAWUL:""&amp;B1,""shares"")/1000000"),"64.44327")</f>
        <v>64.44327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true" outlineLevel="0" collapsed="false">
      <c r="H9" s="6"/>
      <c r="I9" s="78"/>
      <c r="J9" s="78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212174</v>
      </c>
      <c r="C11" s="11" t="n">
        <v>143112</v>
      </c>
      <c r="D11" s="11" t="n">
        <v>139537</v>
      </c>
      <c r="E11" s="11" t="n">
        <v>139781</v>
      </c>
      <c r="F11" s="56" t="n">
        <v>138818</v>
      </c>
      <c r="H11" s="10" t="s">
        <v>7</v>
      </c>
      <c r="I11" s="11" t="n">
        <v>1156683</v>
      </c>
      <c r="J11" s="11" t="n">
        <v>1077005</v>
      </c>
      <c r="K11" s="11" t="n">
        <v>910138</v>
      </c>
      <c r="L11" s="11" t="n">
        <v>848699</v>
      </c>
      <c r="M11" s="56" t="n">
        <v>842015</v>
      </c>
      <c r="O11" s="10" t="s">
        <v>8</v>
      </c>
      <c r="P11" s="11" t="n">
        <v>217496</v>
      </c>
      <c r="Q11" s="11" t="n">
        <v>202682</v>
      </c>
      <c r="R11" s="11" t="n">
        <v>205804</v>
      </c>
      <c r="S11" s="11" t="n">
        <v>191423</v>
      </c>
      <c r="T11" s="56" t="n">
        <v>181161</v>
      </c>
    </row>
    <row r="12" customFormat="false" ht="15" hidden="false" customHeight="false" outlineLevel="0" collapsed="false">
      <c r="A12" s="10" t="s">
        <v>9</v>
      </c>
      <c r="B12" s="11" t="n">
        <v>101762</v>
      </c>
      <c r="C12" s="11" t="n">
        <v>108946</v>
      </c>
      <c r="D12" s="11" t="n">
        <v>91136</v>
      </c>
      <c r="E12" s="11" t="n">
        <v>78009</v>
      </c>
      <c r="F12" s="56" t="n">
        <v>70844</v>
      </c>
      <c r="H12" s="10" t="s">
        <v>10</v>
      </c>
      <c r="I12" s="11" t="n">
        <v>809080</v>
      </c>
      <c r="J12" s="11" t="n">
        <v>756209</v>
      </c>
      <c r="K12" s="11" t="n">
        <v>618739</v>
      </c>
      <c r="L12" s="11" t="n">
        <v>575552</v>
      </c>
      <c r="M12" s="56" t="n">
        <v>575657</v>
      </c>
      <c r="O12" s="10" t="s">
        <v>11</v>
      </c>
      <c r="P12" s="11" t="n">
        <v>79819</v>
      </c>
      <c r="Q12" s="11" t="n">
        <v>81273</v>
      </c>
      <c r="R12" s="11" t="n">
        <v>55924</v>
      </c>
      <c r="S12" s="11" t="n">
        <v>51256</v>
      </c>
      <c r="T12" s="56" t="n">
        <v>45985</v>
      </c>
    </row>
    <row r="13" customFormat="false" ht="15" hidden="false" customHeight="false" outlineLevel="0" collapsed="false">
      <c r="A13" s="10" t="s">
        <v>12</v>
      </c>
      <c r="B13" s="18" t="s">
        <v>84</v>
      </c>
      <c r="C13" s="18" t="s">
        <v>84</v>
      </c>
      <c r="D13" s="11" t="n">
        <v>4000</v>
      </c>
      <c r="E13" s="11" t="n">
        <v>4000</v>
      </c>
      <c r="F13" s="56" t="n">
        <v>4000</v>
      </c>
      <c r="H13" s="10" t="s">
        <v>13</v>
      </c>
      <c r="I13" s="11" t="n">
        <v>347603</v>
      </c>
      <c r="J13" s="11" t="n">
        <v>320796</v>
      </c>
      <c r="K13" s="11" t="n">
        <v>291399</v>
      </c>
      <c r="L13" s="11" t="n">
        <v>273147</v>
      </c>
      <c r="M13" s="56" t="n">
        <v>266358</v>
      </c>
      <c r="O13" s="10" t="s">
        <v>14</v>
      </c>
      <c r="P13" s="13" t="n">
        <v>-6309</v>
      </c>
      <c r="Q13" s="13" t="n">
        <v>-3195</v>
      </c>
      <c r="R13" s="13" t="n">
        <v>-3124</v>
      </c>
      <c r="S13" s="11" t="n">
        <v>487</v>
      </c>
      <c r="T13" s="56" t="n">
        <v>3037</v>
      </c>
    </row>
    <row r="14" customFormat="false" ht="15" hidden="false" customHeight="false" outlineLevel="0" collapsed="false">
      <c r="A14" s="10" t="s">
        <v>15</v>
      </c>
      <c r="B14" s="11" t="n">
        <v>1038254</v>
      </c>
      <c r="C14" s="11" t="n">
        <v>937171</v>
      </c>
      <c r="D14" s="11" t="n">
        <v>741285</v>
      </c>
      <c r="E14" s="11" t="n">
        <v>568646</v>
      </c>
      <c r="F14" s="56" t="n">
        <v>493768</v>
      </c>
      <c r="H14" s="10" t="s">
        <v>16</v>
      </c>
      <c r="I14" s="11" t="n">
        <v>3404</v>
      </c>
      <c r="J14" s="11" t="n">
        <v>6406</v>
      </c>
      <c r="K14" s="11" t="n">
        <v>17718</v>
      </c>
      <c r="L14" s="11" t="n">
        <v>10308</v>
      </c>
      <c r="M14" s="56" t="n">
        <v>5983</v>
      </c>
      <c r="O14" s="10" t="s">
        <v>9</v>
      </c>
      <c r="P14" s="11" t="n">
        <v>7192</v>
      </c>
      <c r="Q14" s="13" t="n">
        <v>-17810</v>
      </c>
      <c r="R14" s="13" t="n">
        <v>-13127</v>
      </c>
      <c r="S14" s="13" t="n">
        <v>-7165</v>
      </c>
      <c r="T14" s="58" t="n">
        <v>-5683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57"/>
      <c r="H15" s="10" t="s">
        <v>18</v>
      </c>
      <c r="I15" s="11" t="n">
        <v>351007</v>
      </c>
      <c r="J15" s="11" t="n">
        <v>327202</v>
      </c>
      <c r="K15" s="11" t="n">
        <v>309117</v>
      </c>
      <c r="L15" s="11" t="n">
        <v>283455</v>
      </c>
      <c r="M15" s="56" t="n">
        <v>272341</v>
      </c>
      <c r="O15" s="10" t="s">
        <v>19</v>
      </c>
      <c r="P15" s="13" t="n">
        <v>-12436</v>
      </c>
      <c r="Q15" s="13" t="n">
        <v>-6251</v>
      </c>
      <c r="R15" s="13" t="n">
        <v>-25119</v>
      </c>
      <c r="S15" s="13" t="n">
        <v>-4345</v>
      </c>
      <c r="T15" s="58" t="n">
        <v>-3944</v>
      </c>
    </row>
    <row r="16" customFormat="false" ht="15" hidden="false" customHeight="false" outlineLevel="0" collapsed="false">
      <c r="A16" s="10" t="s">
        <v>20</v>
      </c>
      <c r="B16" s="11" t="n">
        <v>1352190</v>
      </c>
      <c r="C16" s="11" t="n">
        <v>1189229</v>
      </c>
      <c r="D16" s="11" t="n">
        <v>975958</v>
      </c>
      <c r="E16" s="11" t="n">
        <v>790436</v>
      </c>
      <c r="F16" s="56" t="n">
        <v>707430</v>
      </c>
      <c r="H16" s="10" t="s">
        <v>21</v>
      </c>
      <c r="I16" s="11" t="n">
        <v>121950</v>
      </c>
      <c r="J16" s="11" t="n">
        <v>112715</v>
      </c>
      <c r="K16" s="11" t="n">
        <v>97783</v>
      </c>
      <c r="L16" s="11" t="n">
        <v>85352</v>
      </c>
      <c r="M16" s="56" t="n">
        <v>85715</v>
      </c>
      <c r="O16" s="10" t="s">
        <v>22</v>
      </c>
      <c r="P16" s="13" t="n">
        <v>-6869</v>
      </c>
      <c r="Q16" s="11" t="n">
        <v>20623</v>
      </c>
      <c r="R16" s="11" t="n">
        <v>9242</v>
      </c>
      <c r="S16" s="13" t="n">
        <v>-3761</v>
      </c>
      <c r="T16" s="56" t="n">
        <v>7022</v>
      </c>
    </row>
    <row r="17" customFormat="false" ht="15" hidden="false" customHeight="false" outlineLevel="0" collapsed="false">
      <c r="A17" s="10" t="s">
        <v>23</v>
      </c>
      <c r="B17" s="11" t="n">
        <v>241601</v>
      </c>
      <c r="C17" s="11" t="n">
        <v>204173</v>
      </c>
      <c r="D17" s="11" t="n">
        <v>134231</v>
      </c>
      <c r="E17" s="11" t="n">
        <v>107712</v>
      </c>
      <c r="F17" s="56" t="n">
        <v>112569</v>
      </c>
      <c r="H17" s="10" t="s">
        <v>11</v>
      </c>
      <c r="I17" s="18" t="s">
        <v>84</v>
      </c>
      <c r="J17" s="18" t="s">
        <v>84</v>
      </c>
      <c r="K17" s="18" t="s">
        <v>84</v>
      </c>
      <c r="L17" s="18" t="s">
        <v>84</v>
      </c>
      <c r="M17" s="57"/>
      <c r="O17" s="10" t="s">
        <v>24</v>
      </c>
      <c r="P17" s="11" t="n">
        <v>14490</v>
      </c>
      <c r="Q17" s="11" t="n">
        <v>9282</v>
      </c>
      <c r="R17" s="11" t="n">
        <v>10427</v>
      </c>
      <c r="S17" s="13" t="n">
        <v>-3039</v>
      </c>
      <c r="T17" s="56" t="n">
        <v>14644</v>
      </c>
    </row>
    <row r="18" customFormat="false" ht="15" hidden="false" customHeight="false" outlineLevel="0" collapsed="false">
      <c r="A18" s="10" t="s">
        <v>25</v>
      </c>
      <c r="B18" s="11" t="n">
        <v>298039</v>
      </c>
      <c r="C18" s="11" t="n">
        <v>249602</v>
      </c>
      <c r="D18" s="11" t="n">
        <v>163935</v>
      </c>
      <c r="E18" s="11" t="n">
        <v>81886</v>
      </c>
      <c r="F18" s="56" t="n">
        <v>73395</v>
      </c>
      <c r="H18" s="10" t="s">
        <v>26</v>
      </c>
      <c r="I18" s="11" t="n">
        <v>7311</v>
      </c>
      <c r="J18" s="11" t="n">
        <v>7805</v>
      </c>
      <c r="K18" s="11" t="n">
        <v>2321</v>
      </c>
      <c r="L18" s="11" t="n">
        <v>1505</v>
      </c>
      <c r="M18" s="56" t="n">
        <v>865</v>
      </c>
      <c r="O18" s="10" t="s">
        <v>27</v>
      </c>
      <c r="P18" s="13" t="n">
        <v>-178517</v>
      </c>
      <c r="Q18" s="13" t="n">
        <v>-288890</v>
      </c>
      <c r="R18" s="13" t="n">
        <v>-236573</v>
      </c>
      <c r="S18" s="13" t="n">
        <v>-131099</v>
      </c>
      <c r="T18" s="58" t="n">
        <v>-158467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57"/>
      <c r="H19" s="10" t="s">
        <v>29</v>
      </c>
      <c r="I19" s="11" t="n">
        <v>129261</v>
      </c>
      <c r="J19" s="11" t="n">
        <v>120520</v>
      </c>
      <c r="K19" s="11" t="n">
        <v>100104</v>
      </c>
      <c r="L19" s="11" t="n">
        <v>86857</v>
      </c>
      <c r="M19" s="56" t="n">
        <v>86580</v>
      </c>
      <c r="O19" s="10" t="s">
        <v>30</v>
      </c>
      <c r="P19" s="11" t="n">
        <v>2775</v>
      </c>
      <c r="Q19" s="11" t="n">
        <v>17997</v>
      </c>
      <c r="R19" s="11" t="n">
        <v>5796</v>
      </c>
      <c r="S19" s="11" t="n">
        <v>8366</v>
      </c>
      <c r="T19" s="56" t="n">
        <v>1058</v>
      </c>
    </row>
    <row r="20" customFormat="false" ht="15" hidden="false" customHeight="false" outlineLevel="0" collapsed="false">
      <c r="A20" s="10" t="s">
        <v>31</v>
      </c>
      <c r="B20" s="11" t="n">
        <v>812550</v>
      </c>
      <c r="C20" s="11" t="n">
        <v>735454</v>
      </c>
      <c r="D20" s="11" t="n">
        <v>677792</v>
      </c>
      <c r="E20" s="11" t="n">
        <v>600838</v>
      </c>
      <c r="F20" s="56" t="n">
        <v>521466</v>
      </c>
      <c r="H20" s="10" t="s">
        <v>32</v>
      </c>
      <c r="I20" s="11" t="n">
        <v>221746</v>
      </c>
      <c r="J20" s="11" t="n">
        <v>206682</v>
      </c>
      <c r="K20" s="11" t="n">
        <v>209013</v>
      </c>
      <c r="L20" s="11" t="n">
        <v>196598</v>
      </c>
      <c r="M20" s="56" t="n">
        <v>185761</v>
      </c>
      <c r="O20" s="10" t="s">
        <v>33</v>
      </c>
      <c r="P20" s="11" t="n">
        <v>74075</v>
      </c>
      <c r="Q20" s="11" t="n">
        <v>123612</v>
      </c>
      <c r="R20" s="11" t="n">
        <v>94219</v>
      </c>
      <c r="S20" s="11" t="n">
        <v>7033</v>
      </c>
      <c r="T20" s="56" t="n">
        <v>16961</v>
      </c>
    </row>
    <row r="21" customFormat="false" ht="15" hidden="false" customHeight="false" outlineLevel="0" collapsed="false">
      <c r="A21" s="10" t="s">
        <v>34</v>
      </c>
      <c r="B21" s="18" t="s">
        <v>84</v>
      </c>
      <c r="C21" s="18" t="s">
        <v>84</v>
      </c>
      <c r="D21" s="18" t="s">
        <v>84</v>
      </c>
      <c r="E21" s="18" t="s">
        <v>84</v>
      </c>
      <c r="F21" s="59"/>
      <c r="H21" s="10" t="s">
        <v>35</v>
      </c>
      <c r="I21" s="11" t="n">
        <v>4250</v>
      </c>
      <c r="J21" s="11" t="n">
        <v>4000</v>
      </c>
      <c r="K21" s="11" t="n">
        <v>3209</v>
      </c>
      <c r="L21" s="11" t="n">
        <v>5175</v>
      </c>
      <c r="M21" s="56" t="n">
        <v>4600</v>
      </c>
      <c r="O21" s="10" t="s">
        <v>36</v>
      </c>
      <c r="P21" s="13" t="n">
        <v>-141398</v>
      </c>
      <c r="Q21" s="13" t="n">
        <v>-145195</v>
      </c>
      <c r="R21" s="13" t="n">
        <v>-131956</v>
      </c>
      <c r="S21" s="13" t="n">
        <v>-112050</v>
      </c>
      <c r="T21" s="58" t="n">
        <v>-99283</v>
      </c>
    </row>
    <row r="22" customFormat="false" ht="15" hidden="false" customHeight="false" outlineLevel="0" collapsed="false">
      <c r="A22" s="10" t="s">
        <v>37</v>
      </c>
      <c r="B22" s="11" t="n">
        <v>1352190</v>
      </c>
      <c r="C22" s="11" t="n">
        <v>1189229</v>
      </c>
      <c r="D22" s="11" t="n">
        <v>975958</v>
      </c>
      <c r="E22" s="11" t="n">
        <v>790436</v>
      </c>
      <c r="F22" s="56" t="n">
        <v>707430</v>
      </c>
      <c r="H22" s="10" t="s">
        <v>8</v>
      </c>
      <c r="I22" s="11" t="n">
        <v>217496</v>
      </c>
      <c r="J22" s="11" t="n">
        <v>202682</v>
      </c>
      <c r="K22" s="11" t="n">
        <v>205804</v>
      </c>
      <c r="L22" s="11" t="n">
        <v>191423</v>
      </c>
      <c r="M22" s="56" t="n">
        <v>181161</v>
      </c>
      <c r="O22" s="10" t="s">
        <v>38</v>
      </c>
      <c r="P22" s="11" t="n">
        <v>22908</v>
      </c>
      <c r="Q22" s="11" t="n">
        <v>28780</v>
      </c>
      <c r="R22" s="11" t="n">
        <v>57266</v>
      </c>
      <c r="S22" s="11" t="n">
        <v>60161</v>
      </c>
      <c r="T22" s="56" t="n">
        <v>57670</v>
      </c>
    </row>
    <row r="23" customFormat="false" ht="15" hidden="false" customHeight="false" outlineLevel="0" collapsed="false">
      <c r="H23" s="10" t="s">
        <v>39</v>
      </c>
      <c r="I23" s="11" t="n">
        <v>156236</v>
      </c>
      <c r="J23" s="11" t="n">
        <v>118842</v>
      </c>
      <c r="K23" s="11" t="n">
        <v>194468</v>
      </c>
      <c r="L23" s="11" t="n">
        <v>164238</v>
      </c>
      <c r="M23" s="56" t="n">
        <v>100477</v>
      </c>
      <c r="O23" s="10" t="s">
        <v>40</v>
      </c>
      <c r="P23" s="11" t="n">
        <v>73226</v>
      </c>
      <c r="Q23" s="11" t="n">
        <v>22908</v>
      </c>
      <c r="R23" s="11" t="n">
        <v>28779</v>
      </c>
      <c r="S23" s="11" t="n">
        <v>57267</v>
      </c>
      <c r="T23" s="56" t="n">
        <v>60161</v>
      </c>
    </row>
    <row r="24" customFormat="false" ht="15" hidden="false" customHeight="false" outlineLevel="0" collapsed="false">
      <c r="H24" s="10" t="s">
        <v>41</v>
      </c>
      <c r="I24" s="11" t="n">
        <v>21750</v>
      </c>
      <c r="J24" s="11" t="n">
        <v>20268</v>
      </c>
      <c r="K24" s="11" t="n">
        <v>20580</v>
      </c>
      <c r="L24" s="11" t="n">
        <v>19142</v>
      </c>
      <c r="M24" s="56" t="n">
        <v>18116</v>
      </c>
      <c r="O24" s="2" t="s">
        <v>42</v>
      </c>
      <c r="P24" s="12" t="n">
        <f aca="false">SUM(P11:P17)</f>
        <v>293383</v>
      </c>
      <c r="Q24" s="12" t="n">
        <f aca="false">SUM(Q11:Q17)</f>
        <v>286604</v>
      </c>
      <c r="R24" s="12" t="n">
        <f aca="false">SUM(R11:R17)</f>
        <v>240027</v>
      </c>
      <c r="S24" s="12" t="n">
        <f aca="false">SUM(S11:S17)</f>
        <v>224856</v>
      </c>
      <c r="T24" s="12" t="n">
        <f aca="false">SUM(T11:T17)</f>
        <v>242222</v>
      </c>
    </row>
    <row r="25" customFormat="false" ht="15" hidden="false" customHeight="false" outlineLevel="0" collapsed="false">
      <c r="H25" s="10" t="s">
        <v>43</v>
      </c>
      <c r="I25" s="11" t="n">
        <v>140400</v>
      </c>
      <c r="J25" s="11" t="n">
        <v>145020</v>
      </c>
      <c r="K25" s="11" t="n">
        <v>128850</v>
      </c>
      <c r="L25" s="11" t="n">
        <v>112050</v>
      </c>
      <c r="M25" s="56" t="n">
        <v>99284</v>
      </c>
      <c r="O25" s="2" t="s">
        <v>44</v>
      </c>
      <c r="P25" s="12" t="n">
        <f aca="false">P18+P19</f>
        <v>-175742</v>
      </c>
      <c r="Q25" s="12" t="n">
        <f aca="false">Q18+Q19</f>
        <v>-270893</v>
      </c>
      <c r="R25" s="12" t="n">
        <f aca="false">R18+R19</f>
        <v>-230777</v>
      </c>
      <c r="S25" s="12" t="n">
        <f aca="false">S18+S19</f>
        <v>-122733</v>
      </c>
      <c r="T25" s="12" t="n">
        <f aca="false">T18+T19</f>
        <v>-157409</v>
      </c>
    </row>
    <row r="26" customFormat="false" ht="15" hidden="false" customHeight="false" outlineLevel="0" collapsed="false">
      <c r="H26" s="10" t="s">
        <v>45</v>
      </c>
      <c r="I26" s="18" t="s">
        <v>84</v>
      </c>
      <c r="J26" s="18" t="s">
        <v>84</v>
      </c>
      <c r="K26" s="11" t="n">
        <v>132000</v>
      </c>
      <c r="L26" s="11" t="n">
        <v>30000</v>
      </c>
      <c r="M26" s="57"/>
      <c r="O26" s="2" t="s">
        <v>46</v>
      </c>
      <c r="P26" s="12" t="n">
        <f aca="false">P20+P21</f>
        <v>-67323</v>
      </c>
      <c r="Q26" s="12" t="n">
        <f aca="false">Q20+Q21</f>
        <v>-21583</v>
      </c>
      <c r="R26" s="12" t="n">
        <f aca="false">R20+R21</f>
        <v>-37737</v>
      </c>
      <c r="S26" s="12" t="n">
        <f aca="false">S20+S21</f>
        <v>-105017</v>
      </c>
      <c r="T26" s="12" t="n">
        <f aca="false">T20+T21</f>
        <v>-82322</v>
      </c>
    </row>
    <row r="27" customFormat="false" ht="15" hidden="false" customHeight="false" outlineLevel="0" collapsed="false">
      <c r="H27" s="10" t="s">
        <v>47</v>
      </c>
      <c r="I27" s="11" t="n">
        <v>211582</v>
      </c>
      <c r="J27" s="11" t="n">
        <v>156236</v>
      </c>
      <c r="K27" s="11" t="n">
        <v>118842</v>
      </c>
      <c r="L27" s="11" t="n">
        <v>194469</v>
      </c>
      <c r="M27" s="56" t="n">
        <v>164238</v>
      </c>
      <c r="O27" s="2" t="s">
        <v>48</v>
      </c>
      <c r="P27" s="12" t="n">
        <f aca="false">P24+P25+P26</f>
        <v>50318</v>
      </c>
      <c r="Q27" s="12" t="n">
        <f aca="false">Q24+Q25+Q26</f>
        <v>-5872</v>
      </c>
      <c r="R27" s="12" t="n">
        <f aca="false">R24+R25+R26</f>
        <v>-28487</v>
      </c>
      <c r="S27" s="12" t="n">
        <f aca="false">S24+S25+S26</f>
        <v>-2894</v>
      </c>
      <c r="T27" s="12" t="n">
        <f aca="false">T24+T25+T26</f>
        <v>2491</v>
      </c>
    </row>
    <row r="28" customFormat="false" ht="15" hidden="false" customHeight="false" outlineLevel="0" collapsed="false">
      <c r="H28" s="6"/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0.156911380797077</v>
      </c>
      <c r="C30" s="24" t="n">
        <f aca="false">C11/C$16</f>
        <v>0.120340153158055</v>
      </c>
      <c r="D30" s="24" t="n">
        <f aca="false">D11/D$16</f>
        <v>0.142974390291385</v>
      </c>
      <c r="E30" s="24" t="n">
        <f aca="false">E11/E$16</f>
        <v>0.17684037670349</v>
      </c>
      <c r="F30" s="24" t="n">
        <f aca="false">F11/F$16</f>
        <v>0.196228602123178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0.188034232369629</v>
      </c>
      <c r="Q30" s="26" t="n">
        <f aca="false">Q11/J$11</f>
        <v>0.188190398373267</v>
      </c>
      <c r="R30" s="26" t="n">
        <f aca="false">R11/K$11</f>
        <v>0.22612395043389</v>
      </c>
      <c r="S30" s="26" t="n">
        <f aca="false">S11/L$11</f>
        <v>0.225548751677568</v>
      </c>
      <c r="T30" s="26" t="n">
        <f aca="false">T11/M$11</f>
        <v>0.215151749078104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0.0752571753969487</v>
      </c>
      <c r="C31" s="24" t="n">
        <f aca="false">C12/C$16</f>
        <v>0.0916106149446406</v>
      </c>
      <c r="D31" s="24" t="n">
        <f aca="false">D12/D$16</f>
        <v>0.0933810676279102</v>
      </c>
      <c r="E31" s="24" t="n">
        <f aca="false">E12/E$16</f>
        <v>0.0986911021259153</v>
      </c>
      <c r="F31" s="24" t="n">
        <f aca="false">F12/F$16</f>
        <v>0.10014277030943</v>
      </c>
      <c r="G31" s="6"/>
      <c r="H31" s="25" t="s">
        <v>10</v>
      </c>
      <c r="I31" s="24" t="n">
        <f aca="false">I12/I$11</f>
        <v>0.699482917964559</v>
      </c>
      <c r="J31" s="24" t="n">
        <f aca="false">J12/J$11</f>
        <v>0.702140658585615</v>
      </c>
      <c r="K31" s="24" t="n">
        <f aca="false">K12/K$11</f>
        <v>0.679829871953484</v>
      </c>
      <c r="L31" s="24" t="n">
        <f aca="false">L12/L$11</f>
        <v>0.678157980626818</v>
      </c>
      <c r="M31" s="24" t="n">
        <f aca="false">M12/M$11</f>
        <v>0.683665967945939</v>
      </c>
      <c r="N31" s="6"/>
      <c r="O31" s="25" t="s">
        <v>11</v>
      </c>
      <c r="P31" s="26" t="n">
        <f aca="false">P12/I$11</f>
        <v>0.0690068065321268</v>
      </c>
      <c r="Q31" s="26" t="n">
        <f aca="false">Q12/J$11</f>
        <v>0.0754620452087038</v>
      </c>
      <c r="R31" s="26" t="n">
        <f aca="false">R12/K$11</f>
        <v>0.0614456269269056</v>
      </c>
      <c r="S31" s="26" t="n">
        <f aca="false">S12/L$11</f>
        <v>0.0603936142260095</v>
      </c>
      <c r="T31" s="26" t="n">
        <f aca="false">T12/M$11</f>
        <v>0.0546130413353681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e">
        <f aca="false">B13/B$16</f>
        <v>#VALUE!</v>
      </c>
      <c r="C32" s="24" t="e">
        <f aca="false">C13/C$16</f>
        <v>#VALUE!</v>
      </c>
      <c r="D32" s="24" t="n">
        <f aca="false">D13/D$16</f>
        <v>0.00409853702720814</v>
      </c>
      <c r="E32" s="24" t="n">
        <f aca="false">E13/E$16</f>
        <v>0.00506049825665835</v>
      </c>
      <c r="F32" s="24" t="n">
        <f aca="false">F13/F$16</f>
        <v>0.00565426968039241</v>
      </c>
      <c r="G32" s="6"/>
      <c r="H32" s="25" t="s">
        <v>13</v>
      </c>
      <c r="I32" s="24" t="n">
        <f aca="false">I13/I$11</f>
        <v>0.300517082035441</v>
      </c>
      <c r="J32" s="24" t="n">
        <f aca="false">J13/J$11</f>
        <v>0.297859341414385</v>
      </c>
      <c r="K32" s="24" t="n">
        <f aca="false">K13/K$11</f>
        <v>0.320170128046516</v>
      </c>
      <c r="L32" s="24" t="n">
        <f aca="false">L13/L$11</f>
        <v>0.321842019373182</v>
      </c>
      <c r="M32" s="24" t="n">
        <f aca="false">M13/M$11</f>
        <v>0.316334032054061</v>
      </c>
      <c r="N32" s="6"/>
      <c r="O32" s="25" t="s">
        <v>14</v>
      </c>
      <c r="P32" s="26" t="n">
        <f aca="false">P13/I$11</f>
        <v>-0.00545438983714639</v>
      </c>
      <c r="Q32" s="26" t="n">
        <f aca="false">Q13/J$11</f>
        <v>-0.00296656004382524</v>
      </c>
      <c r="R32" s="26" t="n">
        <f aca="false">R13/K$11</f>
        <v>-0.00343244650811196</v>
      </c>
      <c r="S32" s="26" t="n">
        <f aca="false">S13/L$11</f>
        <v>0.000573819457781852</v>
      </c>
      <c r="T32" s="26" t="n">
        <f aca="false">T13/M$11</f>
        <v>0.00360682410645891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0.767831443805974</v>
      </c>
      <c r="C33" s="24" t="n">
        <f aca="false">C14/C$16</f>
        <v>0.788049231897305</v>
      </c>
      <c r="D33" s="24" t="n">
        <f aca="false">D14/D$16</f>
        <v>0.759546005053496</v>
      </c>
      <c r="E33" s="24" t="n">
        <f aca="false">E14/E$16</f>
        <v>0.719408022913936</v>
      </c>
      <c r="F33" s="24" t="n">
        <f aca="false">F14/F$16</f>
        <v>0.697974357886999</v>
      </c>
      <c r="G33" s="6"/>
      <c r="H33" s="25" t="s">
        <v>16</v>
      </c>
      <c r="I33" s="24" t="n">
        <f aca="false">I14/I$11</f>
        <v>0.00294289792449617</v>
      </c>
      <c r="J33" s="24" t="n">
        <f aca="false">J14/J$11</f>
        <v>0.00594797610038951</v>
      </c>
      <c r="K33" s="24" t="n">
        <f aca="false">K14/K$11</f>
        <v>0.0194673774746247</v>
      </c>
      <c r="L33" s="24" t="n">
        <f aca="false">L14/L$11</f>
        <v>0.0121456488107091</v>
      </c>
      <c r="M33" s="24" t="n">
        <f aca="false">M14/M$11</f>
        <v>0.00710557412872692</v>
      </c>
      <c r="N33" s="6"/>
      <c r="O33" s="25" t="s">
        <v>9</v>
      </c>
      <c r="P33" s="26" t="n">
        <f aca="false">P14/I$11</f>
        <v>0.00621777963365935</v>
      </c>
      <c r="Q33" s="26" t="n">
        <f aca="false">Q14/J$11</f>
        <v>-0.0165365991801338</v>
      </c>
      <c r="R33" s="26" t="n">
        <f aca="false">R14/K$11</f>
        <v>-0.0144230874878315</v>
      </c>
      <c r="S33" s="26" t="n">
        <f aca="false">S14/L$11</f>
        <v>-0.00844233350104101</v>
      </c>
      <c r="T33" s="26" t="n">
        <f aca="false">T14/M$11</f>
        <v>-0.0067492859390866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24" t="n">
        <f aca="false">F15/F$16</f>
        <v>0</v>
      </c>
      <c r="G34" s="6"/>
      <c r="H34" s="25" t="s">
        <v>18</v>
      </c>
      <c r="I34" s="24" t="n">
        <f aca="false">I15/I$11</f>
        <v>0.303459979959937</v>
      </c>
      <c r="J34" s="24" t="n">
        <f aca="false">J15/J$11</f>
        <v>0.303807317514775</v>
      </c>
      <c r="K34" s="24" t="n">
        <f aca="false">K15/K$11</f>
        <v>0.339637505521141</v>
      </c>
      <c r="L34" s="24" t="n">
        <f aca="false">L15/L$11</f>
        <v>0.333987668183891</v>
      </c>
      <c r="M34" s="24" t="n">
        <f aca="false">M15/M$11</f>
        <v>0.323439606182788</v>
      </c>
      <c r="N34" s="6"/>
      <c r="O34" s="25" t="s">
        <v>19</v>
      </c>
      <c r="P34" s="26" t="n">
        <f aca="false">P15/I$11</f>
        <v>-0.0107514331930183</v>
      </c>
      <c r="Q34" s="26" t="n">
        <f aca="false">Q15/J$11</f>
        <v>-0.00580405847698014</v>
      </c>
      <c r="R34" s="26" t="n">
        <f aca="false">R15/K$11</f>
        <v>-0.0275991113435545</v>
      </c>
      <c r="S34" s="26" t="n">
        <f aca="false">S15/L$11</f>
        <v>-0.00511960070649312</v>
      </c>
      <c r="T34" s="26" t="n">
        <f aca="false">T15/M$11</f>
        <v>-0.0046840020664715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0.105430787864955</v>
      </c>
      <c r="J35" s="24" t="n">
        <f aca="false">J16/J$11</f>
        <v>0.104655967242492</v>
      </c>
      <c r="K35" s="24" t="n">
        <f aca="false">K16/K$11</f>
        <v>0.107437553425964</v>
      </c>
      <c r="L35" s="24" t="n">
        <f aca="false">L16/L$11</f>
        <v>0.100568045914983</v>
      </c>
      <c r="M35" s="24" t="n">
        <f aca="false">M16/M$11</f>
        <v>0.101797473916735</v>
      </c>
      <c r="N35" s="6"/>
      <c r="O35" s="25" t="s">
        <v>22</v>
      </c>
      <c r="P35" s="26" t="n">
        <f aca="false">P16/I$11</f>
        <v>-0.00593853285645246</v>
      </c>
      <c r="Q35" s="26" t="n">
        <f aca="false">Q16/J$11</f>
        <v>0.0191484719198147</v>
      </c>
      <c r="R35" s="26" t="n">
        <f aca="false">R16/K$11</f>
        <v>0.0101545040422441</v>
      </c>
      <c r="S35" s="26" t="n">
        <f aca="false">S16/L$11</f>
        <v>-0.00443148866677114</v>
      </c>
      <c r="T35" s="26" t="n">
        <f aca="false">T16/M$11</f>
        <v>0.00833951889218126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0.178673855005584</v>
      </c>
      <c r="C36" s="24" t="n">
        <f aca="false">C17/C$16</f>
        <v>0.171685184266445</v>
      </c>
      <c r="D36" s="24" t="n">
        <f aca="false">D17/D$16</f>
        <v>0.137537680924794</v>
      </c>
      <c r="E36" s="24" t="n">
        <f aca="false">E17/E$16</f>
        <v>0.136269097055296</v>
      </c>
      <c r="F36" s="24" t="n">
        <f aca="false">F17/F$16</f>
        <v>0.159123870913023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0.0125272006245445</v>
      </c>
      <c r="Q36" s="26" t="n">
        <f aca="false">Q17/J$11</f>
        <v>0.00861834439023031</v>
      </c>
      <c r="R36" s="26" t="n">
        <f aca="false">R17/K$11</f>
        <v>0.0114565043982341</v>
      </c>
      <c r="S36" s="26" t="n">
        <f aca="false">S17/L$11</f>
        <v>-0.00358077480944363</v>
      </c>
      <c r="T36" s="26" t="n">
        <f aca="false">T17/M$11</f>
        <v>0.0173916141636432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0.22041207226795</v>
      </c>
      <c r="C37" s="24" t="n">
        <f aca="false">C18/C$16</f>
        <v>0.209885564512806</v>
      </c>
      <c r="D37" s="24" t="n">
        <f aca="false">D18/D$16</f>
        <v>0.167973416888842</v>
      </c>
      <c r="E37" s="24" t="n">
        <f aca="false">E18/E$16</f>
        <v>0.103595990061181</v>
      </c>
      <c r="F37" s="24" t="n">
        <f aca="false">F18/F$16</f>
        <v>0.1037487807981</v>
      </c>
      <c r="G37" s="6"/>
      <c r="H37" s="25" t="s">
        <v>26</v>
      </c>
      <c r="I37" s="24" t="n">
        <f aca="false">I18/I$11</f>
        <v>0.00632066002526189</v>
      </c>
      <c r="J37" s="24" t="n">
        <f aca="false">J18/J$11</f>
        <v>0.00724694871425852</v>
      </c>
      <c r="K37" s="24" t="n">
        <f aca="false">K18/K$11</f>
        <v>0.00255016272257614</v>
      </c>
      <c r="L37" s="24" t="n">
        <f aca="false">L18/L$11</f>
        <v>0.00177330243113283</v>
      </c>
      <c r="M37" s="24" t="n">
        <f aca="false">M18/M$11</f>
        <v>0.00102729761346294</v>
      </c>
      <c r="N37" s="6"/>
      <c r="O37" s="25" t="s">
        <v>27</v>
      </c>
      <c r="P37" s="26" t="n">
        <f aca="false">P18/I$11</f>
        <v>-0.154335284602609</v>
      </c>
      <c r="Q37" s="26" t="n">
        <f aca="false">Q18/J$11</f>
        <v>-0.268234595011165</v>
      </c>
      <c r="R37" s="26" t="n">
        <f aca="false">R18/K$11</f>
        <v>-0.259930911576047</v>
      </c>
      <c r="S37" s="26" t="n">
        <f aca="false">S18/L$11</f>
        <v>-0.154470548451218</v>
      </c>
      <c r="T37" s="26" t="n">
        <f aca="false">T18/M$11</f>
        <v>-0.188199735159112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0.111751447890217</v>
      </c>
      <c r="J38" s="24" t="n">
        <f aca="false">J19/J$11</f>
        <v>0.11190291595675</v>
      </c>
      <c r="K38" s="24" t="n">
        <f aca="false">K19/K$11</f>
        <v>0.10998771614854</v>
      </c>
      <c r="L38" s="24" t="n">
        <f aca="false">L19/L$11</f>
        <v>0.102341348346116</v>
      </c>
      <c r="M38" s="24" t="n">
        <f aca="false">M19/M$11</f>
        <v>0.102824771530198</v>
      </c>
      <c r="N38" s="6"/>
      <c r="O38" s="25" t="s">
        <v>30</v>
      </c>
      <c r="P38" s="26" t="n">
        <f aca="false">P19/I$11</f>
        <v>0.00239910156888274</v>
      </c>
      <c r="Q38" s="26" t="n">
        <f aca="false">Q19/J$11</f>
        <v>0.0167102288290212</v>
      </c>
      <c r="R38" s="26" t="n">
        <f aca="false">R19/K$11</f>
        <v>0.00636826503233576</v>
      </c>
      <c r="S38" s="26" t="n">
        <f aca="false">S19/L$11</f>
        <v>0.00985744062382541</v>
      </c>
      <c r="T38" s="26" t="n">
        <f aca="false">T19/M$11</f>
        <v>0.00125650968213155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0.600914072726466</v>
      </c>
      <c r="C39" s="24" t="n">
        <f aca="false">C20/C$16</f>
        <v>0.618429251220749</v>
      </c>
      <c r="D39" s="24" t="n">
        <f aca="false">D20/D$16</f>
        <v>0.694488902186365</v>
      </c>
      <c r="E39" s="24" t="n">
        <f aca="false">E20/E$16</f>
        <v>0.760134912883523</v>
      </c>
      <c r="F39" s="24" t="n">
        <f aca="false">F20/F$16</f>
        <v>0.737127348288877</v>
      </c>
      <c r="G39" s="6"/>
      <c r="H39" s="25" t="s">
        <v>32</v>
      </c>
      <c r="I39" s="24" t="n">
        <f aca="false">I20/I$11</f>
        <v>0.19170853206972</v>
      </c>
      <c r="J39" s="24" t="n">
        <f aca="false">J20/J$11</f>
        <v>0.191904401558024</v>
      </c>
      <c r="K39" s="24" t="n">
        <f aca="false">K20/K$11</f>
        <v>0.229649789372601</v>
      </c>
      <c r="L39" s="24" t="n">
        <f aca="false">L20/L$11</f>
        <v>0.231646319837775</v>
      </c>
      <c r="M39" s="24" t="n">
        <f aca="false">M20/M$11</f>
        <v>0.220614834652589</v>
      </c>
      <c r="N39" s="6"/>
      <c r="O39" s="25" t="s">
        <v>33</v>
      </c>
      <c r="P39" s="26" t="n">
        <f aca="false">P20/I$11</f>
        <v>0.064040882419816</v>
      </c>
      <c r="Q39" s="26" t="n">
        <f aca="false">Q20/J$11</f>
        <v>0.114773840418568</v>
      </c>
      <c r="R39" s="26" t="n">
        <f aca="false">R20/K$11</f>
        <v>0.103521663747695</v>
      </c>
      <c r="S39" s="26" t="n">
        <f aca="false">S20/L$11</f>
        <v>0.00828680132767919</v>
      </c>
      <c r="T39" s="26" t="n">
        <f aca="false">T20/M$11</f>
        <v>0.0201433466149653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0.00367429970009069</v>
      </c>
      <c r="J40" s="24" t="n">
        <f aca="false">J21/J$11</f>
        <v>0.00371400318475773</v>
      </c>
      <c r="K40" s="24" t="n">
        <f aca="false">K21/K$11</f>
        <v>0.00352583893871039</v>
      </c>
      <c r="L40" s="24" t="n">
        <f aca="false">L21/L$11</f>
        <v>0.00609756816020756</v>
      </c>
      <c r="M40" s="24" t="n">
        <f aca="false">M21/M$11</f>
        <v>0.00546308557448502</v>
      </c>
      <c r="N40" s="6"/>
      <c r="O40" s="25" t="s">
        <v>36</v>
      </c>
      <c r="P40" s="26" t="n">
        <f aca="false">P21/I$11</f>
        <v>-0.12224438329257</v>
      </c>
      <c r="Q40" s="26" t="n">
        <f aca="false">Q21/J$11</f>
        <v>-0.134813673102725</v>
      </c>
      <c r="R40" s="26" t="n">
        <f aca="false">R21/K$11</f>
        <v>-0.144984606729968</v>
      </c>
      <c r="S40" s="26" t="n">
        <f aca="false">S21/L$11</f>
        <v>-0.132025606251451</v>
      </c>
      <c r="T40" s="26" t="n">
        <f aca="false">T21/M$11</f>
        <v>-0.117911201106869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0.188034232369629</v>
      </c>
      <c r="J41" s="24" t="n">
        <f aca="false">J22/J$11</f>
        <v>0.188190398373267</v>
      </c>
      <c r="K41" s="24" t="n">
        <f aca="false">K22/K$11</f>
        <v>0.22612395043389</v>
      </c>
      <c r="L41" s="24" t="n">
        <f aca="false">L22/L$11</f>
        <v>0.225548751677568</v>
      </c>
      <c r="M41" s="24" t="n">
        <f aca="false">M22/M$11</f>
        <v>0.215151749078104</v>
      </c>
      <c r="N41" s="6"/>
      <c r="O41" s="25" t="s">
        <v>38</v>
      </c>
      <c r="P41" s="26" t="n">
        <f aca="false">P22/I$11</f>
        <v>0.0198049076540418</v>
      </c>
      <c r="Q41" s="26" t="n">
        <f aca="false">Q22/J$11</f>
        <v>0.0267222529143319</v>
      </c>
      <c r="R41" s="26" t="n">
        <f aca="false">R22/K$11</f>
        <v>0.0629201285958833</v>
      </c>
      <c r="S41" s="26" t="n">
        <f aca="false">S22/L$11</f>
        <v>0.070886144557729</v>
      </c>
      <c r="T41" s="26" t="n">
        <f aca="false">T22/M$11</f>
        <v>0.0684904663218589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0.135072444221969</v>
      </c>
      <c r="J42" s="24" t="n">
        <f aca="false">J23/J$11</f>
        <v>0.110344891620745</v>
      </c>
      <c r="K42" s="24" t="n">
        <f aca="false">K23/K$11</f>
        <v>0.213668696395492</v>
      </c>
      <c r="L42" s="24" t="n">
        <f aca="false">L23/L$11</f>
        <v>0.193517371883318</v>
      </c>
      <c r="M42" s="24" t="n">
        <f aca="false">M23/M$11</f>
        <v>0.119329228101637</v>
      </c>
      <c r="N42" s="6"/>
      <c r="O42" s="25" t="s">
        <v>40</v>
      </c>
      <c r="P42" s="26" t="n">
        <f aca="false">P23/I$11</f>
        <v>0.0633068870209037</v>
      </c>
      <c r="Q42" s="26" t="n">
        <f aca="false">Q23/J$11</f>
        <v>0.0212700962391075</v>
      </c>
      <c r="R42" s="26" t="n">
        <f aca="false">R23/K$11</f>
        <v>0.0316204795316754</v>
      </c>
      <c r="S42" s="26" t="n">
        <f aca="false">S23/L$11</f>
        <v>0.0674762194841752</v>
      </c>
      <c r="T42" s="26" t="n">
        <f aca="false">T23/M$11</f>
        <v>0.0714488459231724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0.0188037690534053</v>
      </c>
      <c r="J43" s="24" t="n">
        <f aca="false">J24/J$11</f>
        <v>0.0188188541371674</v>
      </c>
      <c r="K43" s="24" t="n">
        <f aca="false">K24/K$11</f>
        <v>0.022611955549598</v>
      </c>
      <c r="L43" s="24" t="n">
        <f aca="false">L24/L$11</f>
        <v>0.0225545216855446</v>
      </c>
      <c r="M43" s="24" t="n">
        <f aca="false">M24/M$11</f>
        <v>0.0215150561450805</v>
      </c>
      <c r="N43" s="6"/>
      <c r="O43" s="2" t="s">
        <v>49</v>
      </c>
      <c r="P43" s="26" t="n">
        <f aca="false">P24/I11</f>
        <v>0.253641663273343</v>
      </c>
      <c r="Q43" s="26" t="n">
        <f aca="false">Q24/J11</f>
        <v>0.266112042191076</v>
      </c>
      <c r="R43" s="26" t="n">
        <f aca="false">R24/K11</f>
        <v>0.263725940461776</v>
      </c>
      <c r="S43" s="26" t="n">
        <f aca="false">S24/L11</f>
        <v>0.26494198767761</v>
      </c>
      <c r="T43" s="26" t="n">
        <f aca="false">T24/M11</f>
        <v>0.287669459570198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0.121381571268878</v>
      </c>
      <c r="J44" s="24" t="n">
        <f aca="false">J25/J$11</f>
        <v>0.134651185463392</v>
      </c>
      <c r="K44" s="24" t="n">
        <f aca="false">K25/K$11</f>
        <v>0.141571937442454</v>
      </c>
      <c r="L44" s="24" t="n">
        <f aca="false">L25/L$11</f>
        <v>0.132025606251451</v>
      </c>
      <c r="M44" s="24" t="n">
        <f aca="false">M25/M$11</f>
        <v>0.117912388734167</v>
      </c>
      <c r="N44" s="6"/>
      <c r="O44" s="2" t="s">
        <v>50</v>
      </c>
      <c r="P44" s="26" t="n">
        <f aca="false">P24/B16</f>
        <v>0.216968769181846</v>
      </c>
      <c r="Q44" s="26" t="n">
        <f aca="false">Q24/C16</f>
        <v>0.240999841073502</v>
      </c>
      <c r="R44" s="26" t="n">
        <f aca="false">R24/D16</f>
        <v>0.245939886757422</v>
      </c>
      <c r="S44" s="26" t="n">
        <f aca="false">S24/E16</f>
        <v>0.284470848999793</v>
      </c>
      <c r="T44" s="26" t="n">
        <f aca="false">T24/F16</f>
        <v>0.342397127631002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e">
        <f aca="false">I26/I$11</f>
        <v>#VALUE!</v>
      </c>
      <c r="J45" s="24" t="e">
        <f aca="false">J26/J$11</f>
        <v>#VALUE!</v>
      </c>
      <c r="K45" s="24" t="n">
        <f aca="false">K26/K$11</f>
        <v>0.145032951046984</v>
      </c>
      <c r="L45" s="24" t="n">
        <f aca="false">L26/L$11</f>
        <v>0.0353482212185946</v>
      </c>
      <c r="M45" s="24" t="n">
        <f aca="false">M26/M$11</f>
        <v>0</v>
      </c>
      <c r="N45" s="6"/>
      <c r="O45" s="2" t="s">
        <v>51</v>
      </c>
      <c r="P45" s="26" t="n">
        <f aca="false">P24/B20</f>
        <v>0.361064549873854</v>
      </c>
      <c r="Q45" s="26" t="n">
        <f aca="false">Q24/C20</f>
        <v>0.389696704348606</v>
      </c>
      <c r="R45" s="26" t="n">
        <f aca="false">R24/D20</f>
        <v>0.354130765780652</v>
      </c>
      <c r="S45" s="26" t="n">
        <f aca="false">S24/E20</f>
        <v>0.374237315216414</v>
      </c>
      <c r="T45" s="26" t="n">
        <f aca="false">T24/F20</f>
        <v>0.464502000130402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0.182921336269315</v>
      </c>
      <c r="J46" s="24" t="n">
        <f aca="false">J27/J$11</f>
        <v>0.145065250393452</v>
      </c>
      <c r="K46" s="24" t="n">
        <f aca="false">K27/K$11</f>
        <v>0.130575802790346</v>
      </c>
      <c r="L46" s="24" t="n">
        <f aca="false">L27/L$11</f>
        <v>0.229137774405296</v>
      </c>
      <c r="M46" s="24" t="n">
        <f aca="false">M27/M$11</f>
        <v>0.195053532300493</v>
      </c>
      <c r="N46" s="6"/>
      <c r="O46" s="2" t="s">
        <v>52</v>
      </c>
      <c r="P46" s="26" t="n">
        <f aca="false">P24/I22</f>
        <v>1.34891216390186</v>
      </c>
      <c r="Q46" s="26" t="n">
        <f aca="false">Q24/J22</f>
        <v>1.41405748907155</v>
      </c>
      <c r="R46" s="26" t="n">
        <f aca="false">R24/K22</f>
        <v>1.16628928495073</v>
      </c>
      <c r="S46" s="26" t="n">
        <f aca="false">S24/L22</f>
        <v>1.17465508324496</v>
      </c>
      <c r="T46" s="26" t="n">
        <f aca="false">T24/M22</f>
        <v>1.33705378089103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0.543664294714995</v>
      </c>
      <c r="Q47" s="26" t="n">
        <f aca="false">Q24/(C22-C20)</f>
        <v>0.631599360916754</v>
      </c>
      <c r="R47" s="26" t="n">
        <f aca="false">R24/(D22-D20)</f>
        <v>0.805011302428848</v>
      </c>
      <c r="S47" s="26" t="n">
        <f aca="false">S24/(E22-E20)</f>
        <v>1.18596187723499</v>
      </c>
      <c r="T47" s="26" t="n">
        <f aca="false">T24/(F22-F20)</f>
        <v>1.30252091802715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2.08962250712251</v>
      </c>
      <c r="Q48" s="26" t="n">
        <f aca="false">Q24/J25</f>
        <v>1.97630671631499</v>
      </c>
      <c r="R48" s="26" t="n">
        <f aca="false">R24/K25</f>
        <v>1.86284051222352</v>
      </c>
      <c r="S48" s="26" t="n">
        <f aca="false">S24/L25</f>
        <v>2.00674698795181</v>
      </c>
      <c r="T48" s="26" t="n">
        <f aca="false">T24/M25</f>
        <v>2.43968816727771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1.64344572225614</v>
      </c>
      <c r="Q49" s="26" t="n">
        <f aca="false">Q24/(Q18*-1)</f>
        <v>0.992086953511717</v>
      </c>
      <c r="R49" s="26" t="n">
        <f aca="false">R24/(R18*-1)</f>
        <v>1.01460014456426</v>
      </c>
      <c r="S49" s="26" t="n">
        <f aca="false">S24/(S18*-1)</f>
        <v>1.71516182427021</v>
      </c>
      <c r="T49" s="26" t="n">
        <f aca="false">T24/(T18*-1)</f>
        <v>1.52853275445361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0.0802556168771971</v>
      </c>
      <c r="J50" s="28" t="n">
        <f aca="false">LN(J13/K13)</f>
        <v>0.0961119450404677</v>
      </c>
      <c r="K50" s="28" t="n">
        <f aca="false">LN(K13/L13)</f>
        <v>0.0646833502411983</v>
      </c>
      <c r="L50" s="28" t="n">
        <f aca="false">LN(L13/M13)</f>
        <v>0.0251688432257252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0.8782000074503</v>
      </c>
      <c r="C51" s="30" t="n">
        <f aca="false">C11/C17</f>
        <v>0.700934991404348</v>
      </c>
      <c r="D51" s="30" t="n">
        <f aca="false">D11/D17</f>
        <v>1.03952887187013</v>
      </c>
      <c r="E51" s="30" t="n">
        <f aca="false">E11/E17</f>
        <v>1.2977291295306</v>
      </c>
      <c r="F51" s="30" t="n">
        <f aca="false">F11/F17</f>
        <v>1.23318142650286</v>
      </c>
      <c r="H51" s="29" t="s">
        <v>58</v>
      </c>
      <c r="I51" s="63" t="n">
        <f aca="false">I13/I11</f>
        <v>0.300517082035441</v>
      </c>
      <c r="J51" s="63" t="n">
        <f aca="false">J13/J11</f>
        <v>0.297859341414385</v>
      </c>
      <c r="K51" s="63" t="n">
        <f aca="false">K13/K11</f>
        <v>0.320170128046516</v>
      </c>
      <c r="L51" s="63" t="n">
        <f aca="false">L13/L11</f>
        <v>0.321842019373182</v>
      </c>
      <c r="M51" s="63" t="n">
        <f aca="false">M13/M11</f>
        <v>0.316334032054061</v>
      </c>
      <c r="O51" s="2" t="s">
        <v>59</v>
      </c>
      <c r="P51" s="32" t="n">
        <f aca="false">(P11-P24-P25)/B16</f>
        <v>0.0738468706320857</v>
      </c>
      <c r="Q51" s="32" t="n">
        <f aca="false">(Q11-Q24-Q25)/C16</f>
        <v>0.157220350327817</v>
      </c>
      <c r="R51" s="32" t="n">
        <f aca="false">(R11-R24-R25)/D16</f>
        <v>0.201395961711467</v>
      </c>
      <c r="S51" s="32" t="n">
        <f aca="false">(S11-S24-S25)/E16</f>
        <v>0.112975623579898</v>
      </c>
      <c r="T51" s="32" t="n">
        <f aca="false">(T11-T24-T25)/F16</f>
        <v>0.136194393791612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0.163990267639903</v>
      </c>
      <c r="C52" s="31" t="n">
        <f aca="false">J20/C16</f>
        <v>0.173794954546181</v>
      </c>
      <c r="D52" s="31" t="n">
        <f aca="false">K20/D16</f>
        <v>0.214161879916964</v>
      </c>
      <c r="E52" s="31" t="n">
        <f aca="false">L20/E16</f>
        <v>0.24872095906563</v>
      </c>
      <c r="F52" s="31" t="n">
        <f aca="false">M20/F16</f>
        <v>0.262585697524843</v>
      </c>
      <c r="G52" s="31"/>
      <c r="H52" s="29" t="s">
        <v>61</v>
      </c>
      <c r="I52" s="63" t="n">
        <f aca="false">I16/I11</f>
        <v>0.105430787864955</v>
      </c>
      <c r="J52" s="63" t="n">
        <f aca="false">J16/J11</f>
        <v>0.104655967242492</v>
      </c>
      <c r="K52" s="63" t="n">
        <f aca="false">K16/K11</f>
        <v>0.107437553425964</v>
      </c>
      <c r="L52" s="63" t="n">
        <f aca="false">L16/L11</f>
        <v>0.100568045914983</v>
      </c>
      <c r="M52" s="63" t="n">
        <f aca="false">M16/M11</f>
        <v>0.101797473916735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0.272901359916313</v>
      </c>
      <c r="C53" s="31" t="n">
        <f aca="false">J20/C20</f>
        <v>0.281026413616623</v>
      </c>
      <c r="D53" s="31" t="n">
        <f aca="false">K20/D20</f>
        <v>0.308373365280204</v>
      </c>
      <c r="E53" s="31" t="n">
        <f aca="false">L20/E20</f>
        <v>0.327206335151904</v>
      </c>
      <c r="F53" s="31" t="n">
        <f aca="false">M20/F20</f>
        <v>0.356228402235237</v>
      </c>
      <c r="H53" s="29" t="s">
        <v>11</v>
      </c>
      <c r="I53" s="63" t="e">
        <f aca="false">I17/I11</f>
        <v>#VALUE!</v>
      </c>
      <c r="J53" s="63" t="e">
        <f aca="false">J17/J11</f>
        <v>#VALUE!</v>
      </c>
      <c r="K53" s="63" t="e">
        <f aca="false">K17/K11</f>
        <v>#VALUE!</v>
      </c>
      <c r="L53" s="63" t="e">
        <f aca="false">L17/L11</f>
        <v>#VALUE!</v>
      </c>
      <c r="M53" s="63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11.3665513649496</v>
      </c>
      <c r="C54" s="30" t="n">
        <f aca="false">J11/C12</f>
        <v>9.88567730802416</v>
      </c>
      <c r="D54" s="30" t="n">
        <f aca="false">K11/D12</f>
        <v>9.98659146769663</v>
      </c>
      <c r="E54" s="30" t="n">
        <f aca="false">L11/E12</f>
        <v>10.8795010832083</v>
      </c>
      <c r="F54" s="30" t="n">
        <f aca="false">M11/F12</f>
        <v>11.8854807746598</v>
      </c>
      <c r="H54" s="29" t="s">
        <v>64</v>
      </c>
      <c r="I54" s="63" t="n">
        <f aca="false">I25/I22</f>
        <v>0.645529113179093</v>
      </c>
      <c r="J54" s="63" t="n">
        <f aca="false">J25/J22</f>
        <v>0.715505076918523</v>
      </c>
      <c r="K54" s="63" t="n">
        <f aca="false">K25/K22</f>
        <v>0.626081125731278</v>
      </c>
      <c r="L54" s="63" t="n">
        <f aca="false">L25/L22</f>
        <v>0.585352857284653</v>
      </c>
      <c r="M54" s="63" t="n">
        <f aca="false">M25/M22</f>
        <v>0.548042901065903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0.399085927273534</v>
      </c>
      <c r="C55" s="31" t="n">
        <f aca="false">(C22-C20)/C16</f>
        <v>0.381570748779251</v>
      </c>
      <c r="D55" s="31" t="n">
        <f aca="false">(D22-D20)/D16</f>
        <v>0.305511097813635</v>
      </c>
      <c r="E55" s="31" t="n">
        <f aca="false">(E22-E20)/E16</f>
        <v>0.239865087116477</v>
      </c>
      <c r="F55" s="31" t="n">
        <f aca="false">(F22-F20)/F16</f>
        <v>0.262872651711123</v>
      </c>
      <c r="H55" s="29" t="s">
        <v>66</v>
      </c>
      <c r="I55" s="63" t="n">
        <f aca="false">I22/I11</f>
        <v>0.188034232369629</v>
      </c>
      <c r="J55" s="63" t="n">
        <f aca="false">J22/J11</f>
        <v>0.188190398373267</v>
      </c>
      <c r="K55" s="63" t="n">
        <f aca="false">K22/K11</f>
        <v>0.22612395043389</v>
      </c>
      <c r="L55" s="63" t="n">
        <f aca="false">L22/L11</f>
        <v>0.225548751677568</v>
      </c>
      <c r="M55" s="63" t="n">
        <f aca="false">M22/M11</f>
        <v>0.215151749078104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0.66413143806535</v>
      </c>
      <c r="C56" s="31" t="n">
        <f aca="false">(C22-C20)/C20</f>
        <v>0.616999839554887</v>
      </c>
      <c r="D56" s="31" t="n">
        <f aca="false">(D22-D20)/D20</f>
        <v>0.439907818327747</v>
      </c>
      <c r="E56" s="31" t="n">
        <f aca="false">(E22-E20)/E20</f>
        <v>0.315555940203516</v>
      </c>
      <c r="F56" s="31" t="n">
        <f aca="false">(F22-F20)/F20</f>
        <v>0.35661768936038</v>
      </c>
      <c r="H56" s="33" t="s">
        <v>68</v>
      </c>
      <c r="I56" s="34" t="n">
        <f aca="false">I13/B16</f>
        <v>0.257066684415652</v>
      </c>
      <c r="J56" s="34" t="n">
        <f aca="false">J13/C16</f>
        <v>0.269751242191369</v>
      </c>
      <c r="K56" s="34" t="n">
        <f aca="false">K13/D16</f>
        <v>0.298577397797856</v>
      </c>
      <c r="L56" s="34" t="n">
        <f aca="false">L13/E16</f>
        <v>0.345564979327865</v>
      </c>
      <c r="M56" s="34" t="n">
        <f aca="false">M13/F16</f>
        <v>0.37651499088249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0.855414549730437</v>
      </c>
      <c r="C57" s="30" t="n">
        <f aca="false">J11/C16</f>
        <v>0.905632977332373</v>
      </c>
      <c r="D57" s="30" t="n">
        <f aca="false">K11/D16</f>
        <v>0.93255857321729</v>
      </c>
      <c r="E57" s="30" t="n">
        <f aca="false">L11/E16</f>
        <v>1.07370995248192</v>
      </c>
      <c r="F57" s="30" t="n">
        <f aca="false">M11/F16</f>
        <v>1.1902449712339</v>
      </c>
      <c r="H57" s="33" t="s">
        <v>70</v>
      </c>
      <c r="I57" s="35" t="n">
        <f aca="false">I25/$C$5</f>
        <v>0.0436605276181338</v>
      </c>
      <c r="J57" s="35" t="n">
        <f aca="false">J25/$C$5</f>
        <v>0.0450972201936023</v>
      </c>
      <c r="K57" s="35" t="n">
        <f aca="false">K25/$C$5</f>
        <v>0.0400687961794625</v>
      </c>
      <c r="L57" s="35" t="n">
        <f aca="false">L25/$C$5</f>
        <v>0.0348444595413952</v>
      </c>
      <c r="M57" s="35" t="n">
        <f aca="false">M25/$C$5</f>
        <v>0.030874585641302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1.66413143806535</v>
      </c>
      <c r="C58" s="30" t="n">
        <f aca="false">C16/C20</f>
        <v>1.61699983955489</v>
      </c>
      <c r="D58" s="30" t="n">
        <f aca="false">D16/D20</f>
        <v>1.43990781832775</v>
      </c>
      <c r="E58" s="30" t="n">
        <f aca="false">E16/E20</f>
        <v>1.31555594020352</v>
      </c>
      <c r="F58" s="30" t="n">
        <f aca="false">F16/F20</f>
        <v>1.35661768936038</v>
      </c>
      <c r="H58" s="36" t="s">
        <v>72</v>
      </c>
      <c r="I58" s="37" t="n">
        <f aca="false">I22/$C$7/1000</f>
        <v>3.37499943748975</v>
      </c>
      <c r="J58" s="37" t="n">
        <f aca="false">J22/$C$7/1000</f>
        <v>3.14512283439372</v>
      </c>
      <c r="K58" s="37" t="n">
        <f aca="false">K22/$C$7/1000</f>
        <v>3.19356854486124</v>
      </c>
      <c r="L58" s="37" t="n">
        <f aca="false">L22/$C$7/1000</f>
        <v>2.97041102973204</v>
      </c>
      <c r="M58" s="37" t="n">
        <f aca="false">M22/$C$7/1000</f>
        <v>2.81117019667065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12.6087642666178</v>
      </c>
      <c r="J59" s="37" t="n">
        <f aca="false">C20/$C$7/1000</f>
        <v>11.4124252229907</v>
      </c>
      <c r="K59" s="37" t="n">
        <f aca="false">D20/$C$7/1000</f>
        <v>10.5176537441381</v>
      </c>
      <c r="L59" s="37" t="n">
        <f aca="false">E20/$C$7/1000</f>
        <v>9.32351818894355</v>
      </c>
      <c r="M59" s="37" t="n">
        <f aca="false">F20/$C$7/1000</f>
        <v>8.09186126029918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30.9431394159304</v>
      </c>
      <c r="J60" s="38" t="n">
        <f aca="false">SQRT(22.5*J58*J59)</f>
        <v>28.4183616910683</v>
      </c>
      <c r="K60" s="38" t="n">
        <f aca="false">SQRT(22.5*K58*K59)</f>
        <v>27.490890921685</v>
      </c>
      <c r="L60" s="38" t="n">
        <f aca="false">SQRT(22.5*L58*L59)</f>
        <v>24.9625785616744</v>
      </c>
      <c r="M60" s="38" t="n">
        <f aca="false">SQRT(22.5*M58*M59)</f>
        <v>22.62346088107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2.36629829616033</v>
      </c>
      <c r="J61" s="39" t="n">
        <f aca="false">J58-(C20*0.08/1000/$C$7)</f>
        <v>2.23212881655447</v>
      </c>
      <c r="K61" s="39" t="n">
        <f aca="false">K58-(D20*0.08/1000/$C$7)</f>
        <v>2.35215624533019</v>
      </c>
      <c r="L61" s="39" t="n">
        <f aca="false">L58-(E20*0.08/1000/$C$7)</f>
        <v>2.22452957461656</v>
      </c>
      <c r="M61" s="39" t="n">
        <f aca="false">M58-(F20*0.08/1000/$C$7)</f>
        <v>2.16382129584672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I25/$C$7/1000</f>
        <v>2.1786603938627</v>
      </c>
      <c r="J62" s="41" t="n">
        <f aca="false">J25/$C$7/1000</f>
        <v>2.25035135554108</v>
      </c>
      <c r="K62" s="41" t="n">
        <f aca="false">K25/$C$7/1000</f>
        <v>1.99943298966673</v>
      </c>
      <c r="L62" s="41" t="n">
        <f aca="false">L25/$C$7/1000</f>
        <v>1.7387385835635</v>
      </c>
      <c r="M62" s="41" t="n">
        <f aca="false">M25/$C$7/1000</f>
        <v>1.54064186997339</v>
      </c>
      <c r="O62" s="6"/>
    </row>
    <row r="63" customFormat="false" ht="15" hidden="false" customHeight="false" outlineLevel="0" collapsed="false">
      <c r="A63" s="2"/>
      <c r="H63" s="6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5.98852292877131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0.000228705909393639</v>
      </c>
      <c r="K74" s="6" t="n">
        <f aca="false">K59*$C$7/$C$5</f>
        <v>0.000210774617773149</v>
      </c>
      <c r="L74" s="6" t="n">
        <f aca="false">L59*$C$7/$C$5</f>
        <v>0.000186844046246612</v>
      </c>
      <c r="M74" s="6" t="n">
        <f aca="false">M59*$C$7/$C$5</f>
        <v>0.000162161543411095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6.66906054951999E-005</v>
      </c>
      <c r="K77" s="28" t="n">
        <f aca="false">(K15-K16)/$C$6</f>
        <v>6.57102408151663E-005</v>
      </c>
      <c r="L77" s="28" t="n">
        <f aca="false">(L15-L16)/$C$6</f>
        <v>6.15963159558182E-005</v>
      </c>
      <c r="M77" s="28" t="n">
        <f aca="false">(M15-M16)/$C$6</f>
        <v>5.80277636460353E-005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79" t="n">
        <v>6070</v>
      </c>
      <c r="C1" s="79" t="n">
        <v>6070</v>
      </c>
      <c r="H1" s="6"/>
      <c r="O1" s="6"/>
    </row>
    <row r="2" customFormat="false" ht="15" hidden="false" customHeight="false" outlineLevel="0" collapsed="false">
      <c r="A2" s="2"/>
      <c r="B2" s="79" t="str">
        <f aca="false">IFERROR(__xludf.dummyfunction("GoogleFinance(""TADAWUL:""&amp;B1,""eps"")"),"1.31")</f>
        <v>1.31</v>
      </c>
      <c r="C2" s="79" t="str">
        <f aca="false">IFERROR(__xludf.dummyfunction("GoogleFinance(""TADAWUL:""&amp;B1,""eps"")"),"1.31")</f>
        <v>1.31</v>
      </c>
      <c r="H2" s="6"/>
      <c r="O2" s="6"/>
    </row>
    <row r="3" customFormat="false" ht="15" hidden="false" customHeight="false" outlineLevel="0" collapsed="false">
      <c r="A3" s="2"/>
      <c r="B3" s="2"/>
      <c r="C3" s="2"/>
      <c r="H3" s="6"/>
      <c r="O3" s="6"/>
    </row>
    <row r="4" customFormat="false" ht="15" hidden="false" customHeight="false" outlineLevel="0" collapsed="false">
      <c r="A4" s="2"/>
      <c r="B4" s="80"/>
      <c r="C4" s="80"/>
      <c r="H4" s="6"/>
      <c r="O4" s="6"/>
    </row>
    <row r="5" customFormat="false" ht="15" hidden="false" customHeight="false" outlineLevel="0" collapsed="false">
      <c r="A5" s="2" t="s">
        <v>0</v>
      </c>
      <c r="B5" s="81" t="str">
        <f aca="false">IFERROR(__xludf.dummyfunction("GoogleFinance(""TADAWUL:""&amp;B1,""marketcap"")/1000000"),"722.39")</f>
        <v>722.39</v>
      </c>
      <c r="C5" s="81" t="str">
        <f aca="false">IFERROR(__xludf.dummyfunction("GoogleFinance(""TADAWUL:""&amp;B1,""marketcap"")/1000000"),"722.39")</f>
        <v>722.39</v>
      </c>
      <c r="H5" s="6"/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849006</v>
      </c>
      <c r="C6" s="4" t="n">
        <f aca="false">C5*1000+(C22-C20)-Q23</f>
        <v>819979</v>
      </c>
      <c r="H6" s="6"/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IFERROR(__xludf.dummyfunction("GoogleFinance(""TADAWUL:""&amp;B1,""shares"")/1000000"),"29.974598")</f>
        <v>29.974598</v>
      </c>
      <c r="C7" s="5" t="str">
        <f aca="false">IFERROR(__xludf.dummyfunction("GoogleFinance(""TADAWUL:""&amp;B1,""shares"")/1000000"),"29.974598")</f>
        <v>29.974598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145623</v>
      </c>
      <c r="C11" s="11" t="n">
        <v>260198</v>
      </c>
      <c r="D11" s="11" t="n">
        <v>235387</v>
      </c>
      <c r="E11" s="11" t="n">
        <v>172623</v>
      </c>
      <c r="F11" s="56" t="n">
        <v>174834</v>
      </c>
      <c r="H11" s="10" t="s">
        <v>7</v>
      </c>
      <c r="I11" s="11" t="n">
        <v>380211</v>
      </c>
      <c r="J11" s="11" t="n">
        <v>368953</v>
      </c>
      <c r="K11" s="11" t="n">
        <v>350308</v>
      </c>
      <c r="L11" s="11" t="n">
        <v>340993</v>
      </c>
      <c r="M11" s="56" t="n">
        <v>344537</v>
      </c>
      <c r="O11" s="10" t="s">
        <v>8</v>
      </c>
      <c r="P11" s="11" t="n">
        <v>77714</v>
      </c>
      <c r="Q11" s="11" t="n">
        <v>91103</v>
      </c>
      <c r="R11" s="11" t="n">
        <v>107013</v>
      </c>
      <c r="S11" s="11" t="n">
        <v>102069</v>
      </c>
      <c r="T11" s="56" t="n">
        <v>101677</v>
      </c>
    </row>
    <row r="12" customFormat="false" ht="15" hidden="false" customHeight="false" outlineLevel="0" collapsed="false">
      <c r="A12" s="10" t="s">
        <v>9</v>
      </c>
      <c r="B12" s="11" t="n">
        <v>147542</v>
      </c>
      <c r="C12" s="11" t="n">
        <v>111294</v>
      </c>
      <c r="D12" s="11" t="n">
        <v>151629</v>
      </c>
      <c r="E12" s="11" t="n">
        <v>135258</v>
      </c>
      <c r="F12" s="56" t="n">
        <v>115383</v>
      </c>
      <c r="H12" s="10" t="s">
        <v>10</v>
      </c>
      <c r="I12" s="11" t="n">
        <v>243666</v>
      </c>
      <c r="J12" s="11" t="n">
        <v>228557</v>
      </c>
      <c r="K12" s="11" t="n">
        <v>198446</v>
      </c>
      <c r="L12" s="11" t="n">
        <v>188455</v>
      </c>
      <c r="M12" s="56" t="n">
        <v>194704</v>
      </c>
      <c r="O12" s="10" t="s">
        <v>11</v>
      </c>
      <c r="P12" s="11" t="n">
        <v>49431</v>
      </c>
      <c r="Q12" s="11" t="n">
        <v>46533</v>
      </c>
      <c r="R12" s="11" t="n">
        <v>42471</v>
      </c>
      <c r="S12" s="11" t="n">
        <v>42167</v>
      </c>
      <c r="T12" s="56" t="n">
        <v>37094</v>
      </c>
    </row>
    <row r="13" customFormat="false" ht="15" hidden="false" customHeight="false" outlineLevel="0" collapsed="false">
      <c r="A13" s="10" t="s">
        <v>12</v>
      </c>
      <c r="B13" s="18"/>
      <c r="C13" s="11" t="n">
        <v>6567</v>
      </c>
      <c r="D13" s="11" t="n">
        <v>6567</v>
      </c>
      <c r="E13" s="11" t="n">
        <v>6567</v>
      </c>
      <c r="F13" s="56" t="n">
        <v>6567</v>
      </c>
      <c r="H13" s="10" t="s">
        <v>13</v>
      </c>
      <c r="I13" s="11" t="n">
        <v>136545</v>
      </c>
      <c r="J13" s="11" t="n">
        <v>140396</v>
      </c>
      <c r="K13" s="11" t="n">
        <v>151862</v>
      </c>
      <c r="L13" s="11" t="n">
        <v>152538</v>
      </c>
      <c r="M13" s="56" t="n">
        <v>149833</v>
      </c>
      <c r="O13" s="10" t="s">
        <v>14</v>
      </c>
      <c r="P13" s="13" t="n">
        <v>-5071</v>
      </c>
      <c r="Q13" s="11" t="n">
        <v>28191</v>
      </c>
      <c r="R13" s="13" t="n">
        <v>-53279</v>
      </c>
      <c r="S13" s="13" t="n">
        <v>-18671</v>
      </c>
      <c r="T13" s="56" t="n">
        <v>50103</v>
      </c>
    </row>
    <row r="14" customFormat="false" ht="15" hidden="false" customHeight="false" outlineLevel="0" collapsed="false">
      <c r="A14" s="10" t="s">
        <v>15</v>
      </c>
      <c r="B14" s="11" t="n">
        <v>636737</v>
      </c>
      <c r="C14" s="11" t="n">
        <v>549114</v>
      </c>
      <c r="D14" s="11" t="n">
        <v>468526</v>
      </c>
      <c r="E14" s="11" t="n">
        <v>464831</v>
      </c>
      <c r="F14" s="56" t="n">
        <v>434357</v>
      </c>
      <c r="H14" s="10" t="s">
        <v>16</v>
      </c>
      <c r="I14" s="11" t="n">
        <v>8367</v>
      </c>
      <c r="J14" s="11" t="n">
        <v>6431</v>
      </c>
      <c r="K14" s="11" t="n">
        <v>7586</v>
      </c>
      <c r="L14" s="11" t="n">
        <v>11767</v>
      </c>
      <c r="M14" s="56" t="n">
        <v>11549</v>
      </c>
      <c r="O14" s="10" t="s">
        <v>9</v>
      </c>
      <c r="P14" s="13" t="n">
        <v>-31238</v>
      </c>
      <c r="Q14" s="11" t="n">
        <v>40335</v>
      </c>
      <c r="R14" s="13" t="n">
        <v>-16371</v>
      </c>
      <c r="S14" s="13" t="n">
        <v>-19874</v>
      </c>
      <c r="T14" s="58" t="n">
        <v>-19688</v>
      </c>
    </row>
    <row r="15" customFormat="false" ht="15" hidden="false" customHeight="false" outlineLevel="0" collapsed="false">
      <c r="A15" s="10" t="s">
        <v>17</v>
      </c>
      <c r="B15" s="11" t="n">
        <v>32372</v>
      </c>
      <c r="C15" s="11" t="n">
        <v>44676</v>
      </c>
      <c r="D15" s="11" t="n">
        <v>39013</v>
      </c>
      <c r="E15" s="11" t="n">
        <v>40228</v>
      </c>
      <c r="F15" s="56" t="n">
        <v>29409</v>
      </c>
      <c r="H15" s="10" t="s">
        <v>18</v>
      </c>
      <c r="I15" s="11" t="n">
        <v>144912</v>
      </c>
      <c r="J15" s="11" t="n">
        <v>146827</v>
      </c>
      <c r="K15" s="11" t="n">
        <v>159448</v>
      </c>
      <c r="L15" s="11" t="n">
        <v>164305</v>
      </c>
      <c r="M15" s="56" t="n">
        <v>161382</v>
      </c>
      <c r="O15" s="10" t="s">
        <v>19</v>
      </c>
      <c r="P15" s="11" t="n">
        <v>2064</v>
      </c>
      <c r="Q15" s="13" t="n">
        <v>-2758</v>
      </c>
      <c r="R15" s="13" t="n">
        <v>-10101</v>
      </c>
      <c r="S15" s="11" t="n">
        <v>1006</v>
      </c>
      <c r="T15" s="58" t="n">
        <v>-1609</v>
      </c>
    </row>
    <row r="16" customFormat="false" ht="15" hidden="false" customHeight="false" outlineLevel="0" collapsed="false">
      <c r="A16" s="10" t="s">
        <v>20</v>
      </c>
      <c r="B16" s="11" t="n">
        <v>962274</v>
      </c>
      <c r="C16" s="11" t="n">
        <v>971849</v>
      </c>
      <c r="D16" s="11" t="n">
        <v>901122</v>
      </c>
      <c r="E16" s="11" t="n">
        <v>819507</v>
      </c>
      <c r="F16" s="56" t="n">
        <v>760550</v>
      </c>
      <c r="H16" s="10" t="s">
        <v>21</v>
      </c>
      <c r="I16" s="11" t="n">
        <v>58464</v>
      </c>
      <c r="J16" s="11" t="n">
        <v>50532</v>
      </c>
      <c r="K16" s="11" t="n">
        <v>47904</v>
      </c>
      <c r="L16" s="11" t="n">
        <v>56894</v>
      </c>
      <c r="M16" s="56" t="n">
        <v>48396</v>
      </c>
      <c r="O16" s="10" t="s">
        <v>22</v>
      </c>
      <c r="P16" s="11" t="n">
        <v>2507</v>
      </c>
      <c r="Q16" s="11" t="n">
        <v>276</v>
      </c>
      <c r="R16" s="11" t="n">
        <v>3734</v>
      </c>
      <c r="S16" s="11" t="n">
        <v>530</v>
      </c>
      <c r="T16" s="56" t="n">
        <v>2677</v>
      </c>
    </row>
    <row r="17" customFormat="false" ht="15" hidden="false" customHeight="false" outlineLevel="0" collapsed="false">
      <c r="A17" s="10" t="s">
        <v>23</v>
      </c>
      <c r="B17" s="11" t="n">
        <v>108836</v>
      </c>
      <c r="C17" s="11" t="n">
        <v>91603</v>
      </c>
      <c r="D17" s="11" t="n">
        <v>61473</v>
      </c>
      <c r="E17" s="11" t="n">
        <v>90824</v>
      </c>
      <c r="F17" s="56" t="n">
        <v>81134</v>
      </c>
      <c r="H17" s="10" t="s">
        <v>11</v>
      </c>
      <c r="I17" s="18"/>
      <c r="J17" s="18"/>
      <c r="K17" s="18"/>
      <c r="L17" s="18"/>
      <c r="M17" s="57"/>
      <c r="O17" s="10" t="s">
        <v>24</v>
      </c>
      <c r="P17" s="18"/>
      <c r="Q17" s="18"/>
      <c r="R17" s="18"/>
      <c r="S17" s="18"/>
      <c r="T17" s="57"/>
    </row>
    <row r="18" customFormat="false" ht="15" hidden="false" customHeight="false" outlineLevel="0" collapsed="false">
      <c r="A18" s="10" t="s">
        <v>25</v>
      </c>
      <c r="B18" s="11" t="n">
        <v>35871</v>
      </c>
      <c r="C18" s="11" t="n">
        <v>41032</v>
      </c>
      <c r="D18" s="11" t="n">
        <v>59738</v>
      </c>
      <c r="E18" s="11" t="n">
        <v>28985</v>
      </c>
      <c r="F18" s="56" t="n">
        <v>29987</v>
      </c>
      <c r="H18" s="10" t="s">
        <v>26</v>
      </c>
      <c r="I18" s="11" t="n">
        <v>5582</v>
      </c>
      <c r="J18" s="18"/>
      <c r="K18" s="18"/>
      <c r="L18" s="18"/>
      <c r="M18" s="56" t="n">
        <v>4972</v>
      </c>
      <c r="O18" s="10" t="s">
        <v>27</v>
      </c>
      <c r="P18" s="13" t="n">
        <v>-100543</v>
      </c>
      <c r="Q18" s="13" t="n">
        <v>-130961</v>
      </c>
      <c r="R18" s="13" t="n">
        <v>-46288</v>
      </c>
      <c r="S18" s="13" t="n">
        <v>-72641</v>
      </c>
      <c r="T18" s="58" t="n">
        <v>-89213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7"/>
      <c r="H19" s="10" t="s">
        <v>29</v>
      </c>
      <c r="I19" s="11" t="n">
        <v>64046</v>
      </c>
      <c r="J19" s="11" t="n">
        <v>50532</v>
      </c>
      <c r="K19" s="11" t="n">
        <v>47904</v>
      </c>
      <c r="L19" s="11" t="n">
        <v>56894</v>
      </c>
      <c r="M19" s="56" t="n">
        <v>53368</v>
      </c>
      <c r="O19" s="10" t="s">
        <v>30</v>
      </c>
      <c r="P19" s="11" t="n">
        <v>24028</v>
      </c>
      <c r="Q19" s="13" t="n">
        <v>-58515</v>
      </c>
      <c r="R19" s="11" t="n">
        <v>12808</v>
      </c>
      <c r="S19" s="13" t="n">
        <v>-10819</v>
      </c>
      <c r="T19" s="58" t="n">
        <v>-7908</v>
      </c>
    </row>
    <row r="20" customFormat="false" ht="15" hidden="false" customHeight="false" outlineLevel="0" collapsed="false">
      <c r="A20" s="10" t="s">
        <v>31</v>
      </c>
      <c r="B20" s="11" t="n">
        <v>817567</v>
      </c>
      <c r="C20" s="11" t="n">
        <v>839214</v>
      </c>
      <c r="D20" s="11" t="n">
        <v>779911</v>
      </c>
      <c r="E20" s="11" t="n">
        <v>699698</v>
      </c>
      <c r="F20" s="56" t="n">
        <v>649429</v>
      </c>
      <c r="H20" s="10" t="s">
        <v>32</v>
      </c>
      <c r="I20" s="11" t="n">
        <v>80866</v>
      </c>
      <c r="J20" s="11" t="n">
        <v>96295</v>
      </c>
      <c r="K20" s="11" t="n">
        <v>111544</v>
      </c>
      <c r="L20" s="11" t="n">
        <v>107411</v>
      </c>
      <c r="M20" s="56" t="n">
        <v>108014</v>
      </c>
      <c r="O20" s="10" t="s">
        <v>33</v>
      </c>
      <c r="P20" s="11" t="n">
        <v>22075</v>
      </c>
      <c r="Q20" s="13" t="n">
        <v>-976</v>
      </c>
      <c r="R20" s="13" t="n">
        <v>-15784</v>
      </c>
      <c r="S20" s="11" t="n">
        <v>3943</v>
      </c>
      <c r="T20" s="58" t="n">
        <v>-11428</v>
      </c>
    </row>
    <row r="21" customFormat="false" ht="15" hidden="false" customHeight="false" outlineLevel="0" collapsed="false">
      <c r="A21" s="10" t="s">
        <v>34</v>
      </c>
      <c r="B21" s="18"/>
      <c r="C21" s="18"/>
      <c r="D21" s="18"/>
      <c r="E21" s="18"/>
      <c r="F21" s="59"/>
      <c r="H21" s="10" t="s">
        <v>35</v>
      </c>
      <c r="I21" s="11" t="n">
        <v>3152</v>
      </c>
      <c r="J21" s="11" t="n">
        <v>5192</v>
      </c>
      <c r="K21" s="11" t="n">
        <v>4531</v>
      </c>
      <c r="L21" s="11" t="n">
        <v>5342</v>
      </c>
      <c r="M21" s="56" t="n">
        <v>6337</v>
      </c>
      <c r="O21" s="10" t="s">
        <v>36</v>
      </c>
      <c r="P21" s="13" t="n">
        <v>-57922</v>
      </c>
      <c r="Q21" s="13" t="n">
        <v>-19676</v>
      </c>
      <c r="R21" s="13" t="n">
        <v>-11969</v>
      </c>
      <c r="S21" s="13" t="n">
        <v>-47585</v>
      </c>
      <c r="T21" s="58" t="n">
        <v>-38657</v>
      </c>
    </row>
    <row r="22" customFormat="false" ht="15" hidden="false" customHeight="false" outlineLevel="0" collapsed="false">
      <c r="A22" s="10" t="s">
        <v>37</v>
      </c>
      <c r="B22" s="11" t="n">
        <v>962274</v>
      </c>
      <c r="C22" s="11" t="n">
        <v>971849</v>
      </c>
      <c r="D22" s="11" t="n">
        <v>901122</v>
      </c>
      <c r="E22" s="11" t="n">
        <v>819507</v>
      </c>
      <c r="F22" s="56" t="n">
        <v>760550</v>
      </c>
      <c r="H22" s="10" t="s">
        <v>8</v>
      </c>
      <c r="I22" s="11" t="n">
        <v>77714</v>
      </c>
      <c r="J22" s="11" t="n">
        <v>91103</v>
      </c>
      <c r="K22" s="11" t="n">
        <v>107013</v>
      </c>
      <c r="L22" s="11" t="n">
        <v>102069</v>
      </c>
      <c r="M22" s="56" t="n">
        <v>101677</v>
      </c>
      <c r="O22" s="10" t="s">
        <v>38</v>
      </c>
      <c r="P22" s="11" t="n">
        <v>35046</v>
      </c>
      <c r="Q22" s="11" t="n">
        <v>41494</v>
      </c>
      <c r="R22" s="11" t="n">
        <v>29260</v>
      </c>
      <c r="S22" s="11" t="n">
        <v>49135</v>
      </c>
      <c r="T22" s="56" t="n">
        <v>26087</v>
      </c>
    </row>
    <row r="23" customFormat="false" ht="15" hidden="false" customHeight="false" outlineLevel="0" collapsed="false">
      <c r="H23" s="10" t="s">
        <v>39</v>
      </c>
      <c r="I23" s="11" t="n">
        <v>243183</v>
      </c>
      <c r="J23" s="11" t="n">
        <v>192991</v>
      </c>
      <c r="K23" s="11" t="n">
        <v>178479</v>
      </c>
      <c r="L23" s="11" t="n">
        <v>115710</v>
      </c>
      <c r="M23" s="56" t="n">
        <v>75746</v>
      </c>
      <c r="O23" s="10" t="s">
        <v>40</v>
      </c>
      <c r="P23" s="11" t="n">
        <v>18091</v>
      </c>
      <c r="Q23" s="11" t="n">
        <v>35046</v>
      </c>
      <c r="R23" s="11" t="n">
        <v>41494</v>
      </c>
      <c r="S23" s="11" t="n">
        <v>29260</v>
      </c>
      <c r="T23" s="56" t="n">
        <v>49135</v>
      </c>
    </row>
    <row r="24" customFormat="false" ht="15" hidden="false" customHeight="false" outlineLevel="0" collapsed="false">
      <c r="H24" s="10" t="s">
        <v>41</v>
      </c>
      <c r="I24" s="11" t="n">
        <v>7059</v>
      </c>
      <c r="J24" s="11" t="n">
        <v>9110</v>
      </c>
      <c r="K24" s="11" t="n">
        <v>10701</v>
      </c>
      <c r="L24" s="11" t="n">
        <v>12500</v>
      </c>
      <c r="M24" s="56" t="n">
        <v>9913</v>
      </c>
      <c r="O24" s="2" t="s">
        <v>42</v>
      </c>
      <c r="P24" s="12" t="n">
        <f aca="false">SUM(P11:P17)</f>
        <v>95407</v>
      </c>
      <c r="Q24" s="12" t="n">
        <f aca="false">SUM(Q11:Q17)</f>
        <v>203680</v>
      </c>
      <c r="R24" s="12" t="n">
        <f aca="false">SUM(R11:R17)</f>
        <v>73467</v>
      </c>
      <c r="S24" s="12" t="n">
        <f aca="false">SUM(S11:S17)</f>
        <v>107227</v>
      </c>
      <c r="T24" s="12" t="n">
        <f aca="false">SUM(T11:T17)</f>
        <v>170254</v>
      </c>
    </row>
    <row r="25" customFormat="false" ht="15" hidden="false" customHeight="false" outlineLevel="0" collapsed="false">
      <c r="H25" s="10" t="s">
        <v>43</v>
      </c>
      <c r="I25" s="11" t="n">
        <v>30000</v>
      </c>
      <c r="J25" s="11" t="n">
        <v>30000</v>
      </c>
      <c r="K25" s="11" t="n">
        <v>30000</v>
      </c>
      <c r="L25" s="11" t="n">
        <v>25000</v>
      </c>
      <c r="M25" s="56" t="n">
        <v>50000</v>
      </c>
      <c r="O25" s="2" t="s">
        <v>44</v>
      </c>
      <c r="P25" s="12" t="n">
        <f aca="false">P18+P19</f>
        <v>-76515</v>
      </c>
      <c r="Q25" s="12" t="n">
        <f aca="false">Q18+Q19</f>
        <v>-189476</v>
      </c>
      <c r="R25" s="12" t="n">
        <f aca="false">R18+R19</f>
        <v>-33480</v>
      </c>
      <c r="S25" s="12" t="n">
        <f aca="false">S18+S19</f>
        <v>-83460</v>
      </c>
      <c r="T25" s="12" t="n">
        <f aca="false">T18+T19</f>
        <v>-97121</v>
      </c>
    </row>
    <row r="26" customFormat="false" ht="15" hidden="false" customHeight="false" outlineLevel="0" collapsed="false">
      <c r="H26" s="10" t="s">
        <v>45</v>
      </c>
      <c r="I26" s="11" t="n">
        <v>4990</v>
      </c>
      <c r="J26" s="11" t="n">
        <v>1800</v>
      </c>
      <c r="K26" s="11" t="n">
        <v>51800</v>
      </c>
      <c r="L26" s="11" t="n">
        <v>1800</v>
      </c>
      <c r="M26" s="56" t="n">
        <v>1800</v>
      </c>
      <c r="O26" s="2" t="s">
        <v>46</v>
      </c>
      <c r="P26" s="12" t="n">
        <f aca="false">P20+P21</f>
        <v>-35847</v>
      </c>
      <c r="Q26" s="12" t="n">
        <f aca="false">Q20+Q21</f>
        <v>-20652</v>
      </c>
      <c r="R26" s="12" t="n">
        <f aca="false">R20+R21</f>
        <v>-27753</v>
      </c>
      <c r="S26" s="12" t="n">
        <f aca="false">S20+S21</f>
        <v>-43642</v>
      </c>
      <c r="T26" s="12" t="n">
        <f aca="false">T20+T21</f>
        <v>-50085</v>
      </c>
    </row>
    <row r="27" customFormat="false" ht="15" hidden="false" customHeight="false" outlineLevel="0" collapsed="false">
      <c r="H27" s="10" t="s">
        <v>47</v>
      </c>
      <c r="I27" s="11" t="n">
        <v>278848</v>
      </c>
      <c r="J27" s="11" t="n">
        <v>243183</v>
      </c>
      <c r="K27" s="11" t="n">
        <v>192991</v>
      </c>
      <c r="L27" s="11" t="n">
        <v>178479</v>
      </c>
      <c r="M27" s="56" t="n">
        <v>115710</v>
      </c>
      <c r="O27" s="2" t="s">
        <v>115</v>
      </c>
      <c r="P27" s="12" t="n">
        <f aca="false">P24+P18</f>
        <v>-5136</v>
      </c>
      <c r="Q27" s="12" t="n">
        <f aca="false">Q24+Q18</f>
        <v>72719</v>
      </c>
      <c r="R27" s="12" t="n">
        <f aca="false">R24+R18</f>
        <v>27179</v>
      </c>
      <c r="S27" s="12" t="n">
        <f aca="false">S24+S18</f>
        <v>34586</v>
      </c>
      <c r="T27" s="12" t="n">
        <f aca="false">T24+T18</f>
        <v>81041</v>
      </c>
    </row>
    <row r="28" customFormat="false" ht="15" hidden="false" customHeight="false" outlineLevel="0" collapsed="false">
      <c r="H28" s="6"/>
      <c r="O28" s="2" t="s">
        <v>116</v>
      </c>
      <c r="P28" s="12" t="n">
        <f aca="false">(E11-D11)+(D17-E17)</f>
        <v>-92115</v>
      </c>
      <c r="Q28" s="12" t="n">
        <f aca="false">(F11-E11)+(E17-F17)</f>
        <v>11901</v>
      </c>
      <c r="R28" s="12" t="n">
        <f aca="false">(G11-F11)+(F17-G17)</f>
        <v>-93700</v>
      </c>
      <c r="S28" s="12" t="e">
        <f aca="false">(H11-G11)+(G17-H17)</f>
        <v>#VALUE!</v>
      </c>
      <c r="T28" s="12" t="e">
        <f aca="false">(I11-H11)+(H17-I17)</f>
        <v>#VALUE!</v>
      </c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0.151332156953217</v>
      </c>
      <c r="C30" s="24" t="n">
        <f aca="false">C11/C$16</f>
        <v>0.267735008216297</v>
      </c>
      <c r="D30" s="24" t="n">
        <f aca="false">D11/D$16</f>
        <v>0.261215462501193</v>
      </c>
      <c r="E30" s="24" t="n">
        <f aca="false">E11/E$16</f>
        <v>0.210642496037252</v>
      </c>
      <c r="F30" s="24" t="n">
        <f aca="false">F11/F$16</f>
        <v>0.229878377489974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0.20439703217424</v>
      </c>
      <c r="Q30" s="26" t="n">
        <f aca="false">Q11/J$11</f>
        <v>0.246923049819354</v>
      </c>
      <c r="R30" s="26" t="n">
        <f aca="false">R11/K$11</f>
        <v>0.305482603880014</v>
      </c>
      <c r="S30" s="26" t="n">
        <f aca="false">S11/L$11</f>
        <v>0.299328725223098</v>
      </c>
      <c r="T30" s="26" t="n">
        <f aca="false">T11/M$11</f>
        <v>0.29511199087471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0.153326391443601</v>
      </c>
      <c r="C31" s="24" t="n">
        <f aca="false">C12/C$16</f>
        <v>0.114517790315162</v>
      </c>
      <c r="D31" s="24" t="n">
        <f aca="false">D12/D$16</f>
        <v>0.16826689393889</v>
      </c>
      <c r="E31" s="24" t="n">
        <f aca="false">E12/E$16</f>
        <v>0.16504801057221</v>
      </c>
      <c r="F31" s="24" t="n">
        <f aca="false">F12/F$16</f>
        <v>0.151709946749063</v>
      </c>
      <c r="G31" s="6"/>
      <c r="H31" s="25" t="s">
        <v>10</v>
      </c>
      <c r="I31" s="24" t="n">
        <f aca="false">I12/I$11</f>
        <v>0.640870464031814</v>
      </c>
      <c r="J31" s="24" t="n">
        <f aca="false">J12/J$11</f>
        <v>0.619474567221299</v>
      </c>
      <c r="K31" s="24" t="n">
        <f aca="false">K12/K$11</f>
        <v>0.566490060175617</v>
      </c>
      <c r="L31" s="24" t="n">
        <f aca="false">L12/L$11</f>
        <v>0.552665303979847</v>
      </c>
      <c r="M31" s="24" t="n">
        <f aca="false">M12/M$11</f>
        <v>0.565117824790951</v>
      </c>
      <c r="N31" s="6"/>
      <c r="O31" s="25" t="s">
        <v>11</v>
      </c>
      <c r="P31" s="26" t="n">
        <f aca="false">P12/I$11</f>
        <v>0.130009389523186</v>
      </c>
      <c r="Q31" s="26" t="n">
        <f aca="false">Q12/J$11</f>
        <v>0.126121755345532</v>
      </c>
      <c r="R31" s="26" t="n">
        <f aca="false">R12/K$11</f>
        <v>0.121239023944643</v>
      </c>
      <c r="S31" s="26" t="n">
        <f aca="false">S12/L$11</f>
        <v>0.123659429958973</v>
      </c>
      <c r="T31" s="26" t="n">
        <f aca="false">T12/M$11</f>
        <v>0.10766332788641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0.00675722257264246</v>
      </c>
      <c r="D32" s="24" t="n">
        <f aca="false">D13/D$16</f>
        <v>0.00728758148175275</v>
      </c>
      <c r="E32" s="24" t="n">
        <f aca="false">E13/E$16</f>
        <v>0.00801335437037145</v>
      </c>
      <c r="F32" s="24" t="n">
        <f aca="false">F13/F$16</f>
        <v>0.00863454079284728</v>
      </c>
      <c r="G32" s="6"/>
      <c r="H32" s="25" t="s">
        <v>13</v>
      </c>
      <c r="I32" s="24" t="n">
        <f aca="false">I13/I$11</f>
        <v>0.359129535968186</v>
      </c>
      <c r="J32" s="24" t="n">
        <f aca="false">J13/J$11</f>
        <v>0.380525432778701</v>
      </c>
      <c r="K32" s="24" t="n">
        <f aca="false">K13/K$11</f>
        <v>0.433509939824383</v>
      </c>
      <c r="L32" s="24" t="n">
        <f aca="false">L13/L$11</f>
        <v>0.447334696020153</v>
      </c>
      <c r="M32" s="24" t="n">
        <f aca="false">M13/M$11</f>
        <v>0.434882175209049</v>
      </c>
      <c r="N32" s="6"/>
      <c r="O32" s="25" t="s">
        <v>14</v>
      </c>
      <c r="P32" s="26" t="n">
        <f aca="false">P13/I$11</f>
        <v>-0.0133373311135133</v>
      </c>
      <c r="Q32" s="26" t="n">
        <f aca="false">Q13/J$11</f>
        <v>0.0764081061815462</v>
      </c>
      <c r="R32" s="26" t="n">
        <f aca="false">R13/K$11</f>
        <v>-0.15209187343709</v>
      </c>
      <c r="S32" s="26" t="n">
        <f aca="false">S13/L$11</f>
        <v>-0.0547547896877648</v>
      </c>
      <c r="T32" s="26" t="n">
        <f aca="false">T13/M$11</f>
        <v>0.145421246484412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0.661700305734126</v>
      </c>
      <c r="C33" s="24" t="n">
        <f aca="false">C14/C$16</f>
        <v>0.565019874486674</v>
      </c>
      <c r="D33" s="24" t="n">
        <f aca="false">D14/D$16</f>
        <v>0.519936257243747</v>
      </c>
      <c r="E33" s="24" t="n">
        <f aca="false">E14/E$16</f>
        <v>0.567208089741759</v>
      </c>
      <c r="F33" s="24" t="n">
        <f aca="false">F14/F$16</f>
        <v>0.571109065807639</v>
      </c>
      <c r="G33" s="6"/>
      <c r="H33" s="25" t="s">
        <v>16</v>
      </c>
      <c r="I33" s="24" t="n">
        <f aca="false">I14/I$11</f>
        <v>0.022006201819516</v>
      </c>
      <c r="J33" s="24" t="n">
        <f aca="false">J14/J$11</f>
        <v>0.0174304044146544</v>
      </c>
      <c r="K33" s="24" t="n">
        <f aca="false">K14/K$11</f>
        <v>0.0216552291126666</v>
      </c>
      <c r="L33" s="24" t="n">
        <f aca="false">L14/L$11</f>
        <v>0.0345080397544818</v>
      </c>
      <c r="M33" s="24" t="n">
        <f aca="false">M14/M$11</f>
        <v>0.0335203475969199</v>
      </c>
      <c r="N33" s="6"/>
      <c r="O33" s="25" t="s">
        <v>9</v>
      </c>
      <c r="P33" s="26" t="n">
        <f aca="false">P14/I$11</f>
        <v>-0.0821596429351071</v>
      </c>
      <c r="Q33" s="26" t="n">
        <f aca="false">Q14/J$11</f>
        <v>0.109322867682334</v>
      </c>
      <c r="R33" s="26" t="n">
        <f aca="false">R14/K$11</f>
        <v>-0.0467331605330167</v>
      </c>
      <c r="S33" s="26" t="n">
        <f aca="false">S14/L$11</f>
        <v>-0.058282721346186</v>
      </c>
      <c r="T33" s="26" t="n">
        <f aca="false">T14/M$11</f>
        <v>-0.0571433547050099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0.033641145869056</v>
      </c>
      <c r="C34" s="24" t="n">
        <f aca="false">C15/C$16</f>
        <v>0.0459701044092241</v>
      </c>
      <c r="D34" s="24" t="n">
        <f aca="false">D15/D$16</f>
        <v>0.0432938048344175</v>
      </c>
      <c r="E34" s="24" t="n">
        <f aca="false">E15/E$16</f>
        <v>0.0490880492784076</v>
      </c>
      <c r="F34" s="24" t="n">
        <f aca="false">F15/F$16</f>
        <v>0.038668069160476</v>
      </c>
      <c r="G34" s="6"/>
      <c r="H34" s="25" t="s">
        <v>18</v>
      </c>
      <c r="I34" s="24" t="n">
        <f aca="false">I15/I$11</f>
        <v>0.381135737787702</v>
      </c>
      <c r="J34" s="24" t="n">
        <f aca="false">J15/J$11</f>
        <v>0.397955837193355</v>
      </c>
      <c r="K34" s="24" t="n">
        <f aca="false">K15/K$11</f>
        <v>0.45516516893705</v>
      </c>
      <c r="L34" s="24" t="n">
        <f aca="false">L15/L$11</f>
        <v>0.481842735774635</v>
      </c>
      <c r="M34" s="24" t="n">
        <f aca="false">M15/M$11</f>
        <v>0.468402522805969</v>
      </c>
      <c r="N34" s="6"/>
      <c r="O34" s="25" t="s">
        <v>19</v>
      </c>
      <c r="P34" s="26" t="n">
        <f aca="false">P15/I$11</f>
        <v>0.00542856466540947</v>
      </c>
      <c r="Q34" s="26" t="n">
        <f aca="false">Q15/J$11</f>
        <v>-0.00747520686916762</v>
      </c>
      <c r="R34" s="26" t="n">
        <f aca="false">R15/K$11</f>
        <v>-0.028834625529534</v>
      </c>
      <c r="S34" s="26" t="n">
        <f aca="false">S15/L$11</f>
        <v>0.00295020718900388</v>
      </c>
      <c r="T34" s="26" t="n">
        <f aca="false">T15/M$11</f>
        <v>-0.00467003543886433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0.153767250289971</v>
      </c>
      <c r="J35" s="24" t="n">
        <f aca="false">J16/J$11</f>
        <v>0.136960534268592</v>
      </c>
      <c r="K35" s="24" t="n">
        <f aca="false">K16/K$11</f>
        <v>0.136748232983546</v>
      </c>
      <c r="L35" s="24" t="n">
        <f aca="false">L16/L$11</f>
        <v>0.166847999812313</v>
      </c>
      <c r="M35" s="24" t="n">
        <f aca="false">M16/M$11</f>
        <v>0.140466771348215</v>
      </c>
      <c r="N35" s="6"/>
      <c r="O35" s="25" t="s">
        <v>22</v>
      </c>
      <c r="P35" s="26" t="n">
        <f aca="false">P16/I$11</f>
        <v>0.00659370717838253</v>
      </c>
      <c r="Q35" s="26" t="n">
        <f aca="false">Q16/J$11</f>
        <v>0.000748062761381531</v>
      </c>
      <c r="R35" s="26" t="n">
        <f aca="false">R16/K$11</f>
        <v>0.0106591913401921</v>
      </c>
      <c r="S35" s="26" t="n">
        <f aca="false">S16/L$11</f>
        <v>0.00155428410553882</v>
      </c>
      <c r="T35" s="26" t="n">
        <f aca="false">T16/M$11</f>
        <v>0.00776984765061517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0.113102920789713</v>
      </c>
      <c r="C36" s="24" t="n">
        <f aca="false">C17/C$16</f>
        <v>0.0942564122615756</v>
      </c>
      <c r="D36" s="24" t="n">
        <f aca="false">D17/D$16</f>
        <v>0.0682182878677915</v>
      </c>
      <c r="E36" s="24" t="n">
        <f aca="false">E17/E$16</f>
        <v>0.110827607329773</v>
      </c>
      <c r="F36" s="24" t="n">
        <f aca="false">F17/F$16</f>
        <v>0.106678061928867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0</v>
      </c>
      <c r="Q36" s="26" t="n">
        <f aca="false">Q17/J$11</f>
        <v>0</v>
      </c>
      <c r="R36" s="26" t="n">
        <f aca="false">R17/K$11</f>
        <v>0</v>
      </c>
      <c r="S36" s="26" t="n">
        <f aca="false">S17/L$11</f>
        <v>0</v>
      </c>
      <c r="T36" s="26" t="n">
        <f aca="false">T17/M$11</f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0.0372773243379744</v>
      </c>
      <c r="C37" s="24" t="n">
        <f aca="false">C18/C$16</f>
        <v>0.0422205507234149</v>
      </c>
      <c r="D37" s="24" t="n">
        <f aca="false">D18/D$16</f>
        <v>0.0662929103939311</v>
      </c>
      <c r="E37" s="24" t="n">
        <f aca="false">E18/E$16</f>
        <v>0.0353688254035658</v>
      </c>
      <c r="F37" s="24" t="n">
        <f aca="false">F18/F$16</f>
        <v>0.0394280454933929</v>
      </c>
      <c r="G37" s="6"/>
      <c r="H37" s="25" t="s">
        <v>26</v>
      </c>
      <c r="I37" s="24" t="n">
        <f aca="false">I18/I$11</f>
        <v>0.0146813216871684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0.0144309609708101</v>
      </c>
      <c r="N37" s="6"/>
      <c r="O37" s="25" t="s">
        <v>27</v>
      </c>
      <c r="P37" s="26" t="n">
        <f aca="false">P18/I$11</f>
        <v>-0.264440008311175</v>
      </c>
      <c r="Q37" s="26" t="n">
        <f aca="false">Q18/J$11</f>
        <v>-0.354953069903213</v>
      </c>
      <c r="R37" s="26" t="n">
        <f aca="false">R18/K$11</f>
        <v>-0.132135149639746</v>
      </c>
      <c r="S37" s="26" t="n">
        <f aca="false">S18/L$11</f>
        <v>-0.213027833415935</v>
      </c>
      <c r="T37" s="26" t="n">
        <f aca="false">T18/M$11</f>
        <v>-0.258935905287386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</v>
      </c>
      <c r="G38" s="6"/>
      <c r="H38" s="25" t="s">
        <v>29</v>
      </c>
      <c r="I38" s="24" t="n">
        <f aca="false">I19/I$11</f>
        <v>0.168448571977139</v>
      </c>
      <c r="J38" s="24" t="n">
        <f aca="false">J19/J$11</f>
        <v>0.136960534268592</v>
      </c>
      <c r="K38" s="24" t="n">
        <f aca="false">K19/K$11</f>
        <v>0.136748232983546</v>
      </c>
      <c r="L38" s="24" t="n">
        <f aca="false">L19/L$11</f>
        <v>0.166847999812313</v>
      </c>
      <c r="M38" s="24" t="n">
        <f aca="false">M19/M$11</f>
        <v>0.154897732319025</v>
      </c>
      <c r="N38" s="6"/>
      <c r="O38" s="25" t="s">
        <v>30</v>
      </c>
      <c r="P38" s="26" t="n">
        <f aca="false">P19/I$11</f>
        <v>0.0631964882657261</v>
      </c>
      <c r="Q38" s="26" t="n">
        <f aca="false">Q19/J$11</f>
        <v>-0.158597436529856</v>
      </c>
      <c r="R38" s="26" t="n">
        <f aca="false">R19/K$11</f>
        <v>0.0365621110565559</v>
      </c>
      <c r="S38" s="26" t="n">
        <f aca="false">S19/L$11</f>
        <v>-0.0317279240336312</v>
      </c>
      <c r="T38" s="26" t="n">
        <f aca="false">T19/M$11</f>
        <v>-0.0229525421072338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0.849619754872313</v>
      </c>
      <c r="C39" s="24" t="n">
        <f aca="false">C20/C$16</f>
        <v>0.86352303701501</v>
      </c>
      <c r="D39" s="24" t="n">
        <f aca="false">D20/D$16</f>
        <v>0.865488801738277</v>
      </c>
      <c r="E39" s="24" t="n">
        <f aca="false">E20/E$16</f>
        <v>0.853803567266662</v>
      </c>
      <c r="F39" s="24" t="n">
        <f aca="false">F20/F$16</f>
        <v>0.85389389257774</v>
      </c>
      <c r="G39" s="6"/>
      <c r="H39" s="25" t="s">
        <v>32</v>
      </c>
      <c r="I39" s="24" t="n">
        <f aca="false">I20/I$11</f>
        <v>0.212687165810563</v>
      </c>
      <c r="J39" s="24" t="n">
        <f aca="false">J20/J$11</f>
        <v>0.260995302924763</v>
      </c>
      <c r="K39" s="24" t="n">
        <f aca="false">K20/K$11</f>
        <v>0.318416935953504</v>
      </c>
      <c r="L39" s="24" t="n">
        <f aca="false">L20/L$11</f>
        <v>0.314994735962322</v>
      </c>
      <c r="M39" s="24" t="n">
        <f aca="false">M20/M$11</f>
        <v>0.313504790486943</v>
      </c>
      <c r="N39" s="6"/>
      <c r="O39" s="25" t="s">
        <v>33</v>
      </c>
      <c r="P39" s="26" t="n">
        <f aca="false">P20/I$11</f>
        <v>0.0580598667581948</v>
      </c>
      <c r="Q39" s="26" t="n">
        <f aca="false">Q20/J$11</f>
        <v>-0.00264532338807382</v>
      </c>
      <c r="R39" s="26" t="n">
        <f aca="false">R20/K$11</f>
        <v>-0.0450574922639506</v>
      </c>
      <c r="S39" s="26" t="n">
        <f aca="false">S20/L$11</f>
        <v>0.0115632872229049</v>
      </c>
      <c r="T39" s="26" t="n">
        <f aca="false">T20/M$11</f>
        <v>-0.0331691516440905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0.00829013363632299</v>
      </c>
      <c r="J40" s="24" t="n">
        <f aca="false">J21/J$11</f>
        <v>0.0140722531054091</v>
      </c>
      <c r="K40" s="24" t="n">
        <f aca="false">K21/K$11</f>
        <v>0.0129343320734896</v>
      </c>
      <c r="L40" s="24" t="n">
        <f aca="false">L21/L$11</f>
        <v>0.0156660107392234</v>
      </c>
      <c r="M40" s="24" t="n">
        <f aca="false">M21/M$11</f>
        <v>0.0183927996122332</v>
      </c>
      <c r="N40" s="6"/>
      <c r="O40" s="25" t="s">
        <v>36</v>
      </c>
      <c r="P40" s="26" t="n">
        <f aca="false">P21/I$11</f>
        <v>-0.152341726041593</v>
      </c>
      <c r="Q40" s="26" t="n">
        <f aca="false">Q21/J$11</f>
        <v>-0.0533292858439964</v>
      </c>
      <c r="R40" s="26" t="n">
        <f aca="false">R21/K$11</f>
        <v>-0.0341670758304121</v>
      </c>
      <c r="S40" s="26" t="n">
        <f aca="false">S21/L$11</f>
        <v>-0.139548319173707</v>
      </c>
      <c r="T40" s="26" t="n">
        <f aca="false">T21/M$11</f>
        <v>-0.112199850814281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0.20439703217424</v>
      </c>
      <c r="J41" s="24" t="n">
        <f aca="false">J22/J$11</f>
        <v>0.246923049819354</v>
      </c>
      <c r="K41" s="24" t="n">
        <f aca="false">K22/K$11</f>
        <v>0.305482603880014</v>
      </c>
      <c r="L41" s="24" t="n">
        <f aca="false">L22/L$11</f>
        <v>0.299328725223098</v>
      </c>
      <c r="M41" s="24" t="n">
        <f aca="false">M22/M$11</f>
        <v>0.29511199087471</v>
      </c>
      <c r="N41" s="6"/>
      <c r="O41" s="25" t="s">
        <v>38</v>
      </c>
      <c r="P41" s="26" t="n">
        <f aca="false">P22/I$11</f>
        <v>0.0921751343333044</v>
      </c>
      <c r="Q41" s="26" t="n">
        <f aca="false">Q22/J$11</f>
        <v>0.112464189205671</v>
      </c>
      <c r="R41" s="26" t="n">
        <f aca="false">R22/K$11</f>
        <v>0.083526496682919</v>
      </c>
      <c r="S41" s="26" t="n">
        <f aca="false">S22/L$11</f>
        <v>0.144093867029528</v>
      </c>
      <c r="T41" s="26" t="n">
        <f aca="false">T22/M$11</f>
        <v>0.0757161059624946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0.639600116777263</v>
      </c>
      <c r="J42" s="24" t="n">
        <f aca="false">J23/J$11</f>
        <v>0.523077465151388</v>
      </c>
      <c r="K42" s="24" t="n">
        <f aca="false">K23/K$11</f>
        <v>0.509491647350332</v>
      </c>
      <c r="L42" s="24" t="n">
        <f aca="false">L23/L$11</f>
        <v>0.339332478965844</v>
      </c>
      <c r="M42" s="24" t="n">
        <f aca="false">M23/M$11</f>
        <v>0.219848666471235</v>
      </c>
      <c r="N42" s="6"/>
      <c r="O42" s="25" t="s">
        <v>40</v>
      </c>
      <c r="P42" s="26" t="n">
        <f aca="false">P23/I$11</f>
        <v>0.0475814744970556</v>
      </c>
      <c r="Q42" s="26" t="n">
        <f aca="false">Q23/J$11</f>
        <v>0.0949877084615114</v>
      </c>
      <c r="R42" s="26" t="n">
        <f aca="false">R23/K$11</f>
        <v>0.118450049670576</v>
      </c>
      <c r="S42" s="26" t="n">
        <f aca="false">S23/L$11</f>
        <v>0.0858082130718226</v>
      </c>
      <c r="T42" s="26" t="n">
        <f aca="false">T23/M$11</f>
        <v>0.142611678861777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0.0185660067699251</v>
      </c>
      <c r="J43" s="24" t="n">
        <f aca="false">J24/J$11</f>
        <v>0.0246914918702382</v>
      </c>
      <c r="K43" s="24" t="n">
        <f aca="false">K24/K$11</f>
        <v>0.0305474039987668</v>
      </c>
      <c r="L43" s="24" t="n">
        <f aca="false">L24/L$11</f>
        <v>0.0366576439985572</v>
      </c>
      <c r="M43" s="24" t="n">
        <f aca="false">M24/M$11</f>
        <v>0.0287719461189945</v>
      </c>
      <c r="N43" s="6"/>
      <c r="O43" s="2" t="s">
        <v>49</v>
      </c>
      <c r="P43" s="26" t="n">
        <f aca="false">P24/I11</f>
        <v>0.250931719492598</v>
      </c>
      <c r="Q43" s="26" t="n">
        <f aca="false">Q24/J11</f>
        <v>0.552048634920979</v>
      </c>
      <c r="R43" s="26" t="n">
        <f aca="false">R24/K11</f>
        <v>0.209721159665209</v>
      </c>
      <c r="S43" s="26" t="n">
        <f aca="false">S24/L11</f>
        <v>0.314455135442663</v>
      </c>
      <c r="T43" s="26" t="n">
        <f aca="false">T24/M11</f>
        <v>0.494153022752273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0.0789035561832772</v>
      </c>
      <c r="J44" s="24" t="n">
        <f aca="false">J25/J$11</f>
        <v>0.0813111697153838</v>
      </c>
      <c r="K44" s="24" t="n">
        <f aca="false">K25/K$11</f>
        <v>0.0856389234616395</v>
      </c>
      <c r="L44" s="24" t="n">
        <f aca="false">L25/L$11</f>
        <v>0.0733152879971143</v>
      </c>
      <c r="M44" s="24" t="n">
        <f aca="false">M25/M$11</f>
        <v>0.145122294557624</v>
      </c>
      <c r="N44" s="6"/>
      <c r="O44" s="2" t="s">
        <v>50</v>
      </c>
      <c r="P44" s="26" t="n">
        <f aca="false">P24/B16</f>
        <v>0.0991474361772219</v>
      </c>
      <c r="Q44" s="26" t="n">
        <f aca="false">Q24/C16</f>
        <v>0.209579883294627</v>
      </c>
      <c r="R44" s="26" t="n">
        <f aca="false">R24/D16</f>
        <v>0.0815283613095674</v>
      </c>
      <c r="S44" s="26" t="n">
        <f aca="false">S24/E16</f>
        <v>0.130843299691156</v>
      </c>
      <c r="T44" s="26" t="n">
        <f aca="false">T24/F16</f>
        <v>0.223856419696272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0.0131242915118184</v>
      </c>
      <c r="J45" s="24" t="n">
        <f aca="false">J26/J$11</f>
        <v>0.00487867018292303</v>
      </c>
      <c r="K45" s="24" t="n">
        <f aca="false">K26/K$11</f>
        <v>0.147869874510431</v>
      </c>
      <c r="L45" s="24" t="n">
        <f aca="false">L26/L$11</f>
        <v>0.00527870073579223</v>
      </c>
      <c r="M45" s="24" t="n">
        <f aca="false">M26/M$11</f>
        <v>0.00522440260407445</v>
      </c>
      <c r="N45" s="6"/>
      <c r="O45" s="2" t="s">
        <v>51</v>
      </c>
      <c r="P45" s="26" t="n">
        <f aca="false">P24/B20</f>
        <v>0.116696246301526</v>
      </c>
      <c r="Q45" s="26" t="n">
        <f aca="false">Q24/C20</f>
        <v>0.242703291413156</v>
      </c>
      <c r="R45" s="26" t="n">
        <f aca="false">R24/D20</f>
        <v>0.0941992099098487</v>
      </c>
      <c r="S45" s="26" t="n">
        <f aca="false">S24/E20</f>
        <v>0.153247543940386</v>
      </c>
      <c r="T45" s="26" t="n">
        <f aca="false">T24/F20</f>
        <v>0.262159527831372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0.733403294486483</v>
      </c>
      <c r="J46" s="24" t="n">
        <f aca="false">J27/J$11</f>
        <v>0.659116472829873</v>
      </c>
      <c r="K46" s="24" t="n">
        <f aca="false">K27/K$11</f>
        <v>0.550918049259509</v>
      </c>
      <c r="L46" s="24" t="n">
        <f aca="false">L27/L$11</f>
        <v>0.523409571457479</v>
      </c>
      <c r="M46" s="24" t="n">
        <f aca="false">M27/M$11</f>
        <v>0.335842014065253</v>
      </c>
      <c r="N46" s="6"/>
      <c r="O46" s="2" t="s">
        <v>52</v>
      </c>
      <c r="P46" s="26" t="n">
        <f aca="false">P24/I22</f>
        <v>1.2276681164269</v>
      </c>
      <c r="Q46" s="26" t="n">
        <f aca="false">Q24/J22</f>
        <v>2.23571122795078</v>
      </c>
      <c r="R46" s="26" t="n">
        <f aca="false">R24/K22</f>
        <v>0.686524067169409</v>
      </c>
      <c r="S46" s="26" t="n">
        <f aca="false">S24/L22</f>
        <v>1.05053444238701</v>
      </c>
      <c r="T46" s="26" t="n">
        <f aca="false">T24/M22</f>
        <v>1.67445931724972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0.659311574422799</v>
      </c>
      <c r="Q47" s="26" t="n">
        <f aca="false">Q24/(C22-C20)</f>
        <v>1.53564292984506</v>
      </c>
      <c r="R47" s="26" t="n">
        <f aca="false">R24/(D22-D20)</f>
        <v>0.606108356502298</v>
      </c>
      <c r="S47" s="26" t="n">
        <f aca="false">S24/(E22-E20)</f>
        <v>0.894982847699255</v>
      </c>
      <c r="T47" s="26" t="n">
        <f aca="false">T24/(F22-F20)</f>
        <v>1.53214963868216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3.18023333333333</v>
      </c>
      <c r="Q48" s="26" t="n">
        <f aca="false">Q24/J25</f>
        <v>6.78933333333333</v>
      </c>
      <c r="R48" s="26" t="n">
        <f aca="false">R24/K25</f>
        <v>2.4489</v>
      </c>
      <c r="S48" s="26" t="n">
        <f aca="false">S24/L25</f>
        <v>4.28908</v>
      </c>
      <c r="T48" s="26" t="n">
        <f aca="false">T24/M25</f>
        <v>3.40508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0.948917378634017</v>
      </c>
      <c r="Q49" s="26" t="n">
        <f aca="false">Q24/(Q18*-1)</f>
        <v>1.55527218026741</v>
      </c>
      <c r="R49" s="26" t="n">
        <f aca="false">R24/(R18*-1)</f>
        <v>1.58717162115451</v>
      </c>
      <c r="S49" s="26" t="n">
        <f aca="false">S24/(S18*-1)</f>
        <v>1.47612230007847</v>
      </c>
      <c r="T49" s="26" t="n">
        <f aca="false">T24/(T18*-1)</f>
        <v>1.90839900014572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-0.0278127705320103</v>
      </c>
      <c r="J50" s="28" t="n">
        <f aca="false">LN(J13/K13)</f>
        <v>-0.0785052125660146</v>
      </c>
      <c r="K50" s="28" t="n">
        <f aca="false">LN(K13/L13)</f>
        <v>-0.00444153161168686</v>
      </c>
      <c r="L50" s="28" t="n">
        <f aca="false">LN(L13/M13)</f>
        <v>0.0178924047880876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1.33800396927487</v>
      </c>
      <c r="C51" s="30" t="n">
        <f aca="false">C11/C17</f>
        <v>2.84049649028962</v>
      </c>
      <c r="D51" s="30" t="n">
        <f aca="false">D11/D17</f>
        <v>3.82911196785581</v>
      </c>
      <c r="E51" s="30" t="n">
        <f aca="false">E11/E17</f>
        <v>1.90063199154409</v>
      </c>
      <c r="F51" s="30" t="n">
        <f aca="false">F11/F17</f>
        <v>2.1548795819262</v>
      </c>
      <c r="H51" s="29" t="s">
        <v>58</v>
      </c>
      <c r="I51" s="63" t="n">
        <f aca="false">I13/I11</f>
        <v>0.359129535968186</v>
      </c>
      <c r="J51" s="63" t="n">
        <f aca="false">J13/J11</f>
        <v>0.380525432778701</v>
      </c>
      <c r="K51" s="63" t="n">
        <f aca="false">K13/K11</f>
        <v>0.433509939824383</v>
      </c>
      <c r="L51" s="63" t="n">
        <f aca="false">L13/L11</f>
        <v>0.447334696020153</v>
      </c>
      <c r="M51" s="63" t="n">
        <f aca="false">M13/M11</f>
        <v>0.434882175209049</v>
      </c>
      <c r="O51" s="2" t="s">
        <v>59</v>
      </c>
      <c r="P51" s="32" t="n">
        <f aca="false">(P11-P24-P25)/B16</f>
        <v>0.061128119433758</v>
      </c>
      <c r="Q51" s="32" t="n">
        <f aca="false">(Q11-Q24-Q25)/C16</f>
        <v>0.0791264898147758</v>
      </c>
      <c r="R51" s="32" t="n">
        <f aca="false">(R11-R24-R25)/D16</f>
        <v>0.0743806055117953</v>
      </c>
      <c r="S51" s="32" t="n">
        <f aca="false">(S11-S24-S25)/E16</f>
        <v>0.0955476890374335</v>
      </c>
      <c r="T51" s="32" t="n">
        <f aca="false">(T11-T24-T25)/F16</f>
        <v>0.037530734336993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0.0840363555494589</v>
      </c>
      <c r="C52" s="31" t="n">
        <f aca="false">J20/C16</f>
        <v>0.0990843227703069</v>
      </c>
      <c r="D52" s="31" t="n">
        <f aca="false">K20/D16</f>
        <v>0.123783461062986</v>
      </c>
      <c r="E52" s="31" t="n">
        <f aca="false">L20/E16</f>
        <v>0.131067824924009</v>
      </c>
      <c r="F52" s="31" t="n">
        <f aca="false">M20/F16</f>
        <v>0.142020905923345</v>
      </c>
      <c r="G52" s="31"/>
      <c r="H52" s="29" t="s">
        <v>61</v>
      </c>
      <c r="I52" s="63" t="n">
        <f aca="false">I16/I11</f>
        <v>0.153767250289971</v>
      </c>
      <c r="J52" s="63" t="n">
        <f aca="false">J16/J11</f>
        <v>0.136960534268592</v>
      </c>
      <c r="K52" s="63" t="n">
        <f aca="false">K16/K11</f>
        <v>0.136748232983546</v>
      </c>
      <c r="L52" s="63" t="n">
        <f aca="false">L16/L11</f>
        <v>0.166847999812313</v>
      </c>
      <c r="M52" s="63" t="n">
        <f aca="false">M16/M11</f>
        <v>0.140466771348215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0.0989105480040168</v>
      </c>
      <c r="C53" s="31" t="n">
        <f aca="false">J20/C20</f>
        <v>0.114744272616996</v>
      </c>
      <c r="D53" s="31" t="n">
        <f aca="false">K20/D20</f>
        <v>0.143021447318989</v>
      </c>
      <c r="E53" s="31" t="n">
        <f aca="false">L20/E20</f>
        <v>0.153510514536271</v>
      </c>
      <c r="F53" s="31" t="n">
        <f aca="false">M20/F20</f>
        <v>0.166321491648818</v>
      </c>
      <c r="H53" s="29" t="s">
        <v>11</v>
      </c>
      <c r="I53" s="63" t="n">
        <f aca="false">I17/I11</f>
        <v>0</v>
      </c>
      <c r="J53" s="63" t="n">
        <f aca="false">J17/J11</f>
        <v>0</v>
      </c>
      <c r="K53" s="63" t="n">
        <f aca="false">K17/K11</f>
        <v>0</v>
      </c>
      <c r="L53" s="63" t="n">
        <f aca="false">L17/L11</f>
        <v>0</v>
      </c>
      <c r="M53" s="63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2.57696791422104</v>
      </c>
      <c r="C54" s="30" t="n">
        <f aca="false">J11/C12</f>
        <v>3.3151203119665</v>
      </c>
      <c r="D54" s="30" t="n">
        <f aca="false">K11/D12</f>
        <v>2.31029684295221</v>
      </c>
      <c r="E54" s="30" t="n">
        <f aca="false">L11/E12</f>
        <v>2.52105605583404</v>
      </c>
      <c r="F54" s="30" t="n">
        <f aca="false">M11/F12</f>
        <v>2.98602913774126</v>
      </c>
      <c r="H54" s="29" t="s">
        <v>64</v>
      </c>
      <c r="I54" s="63" t="n">
        <f aca="false">I25/I22</f>
        <v>0.386030830995702</v>
      </c>
      <c r="J54" s="63" t="n">
        <f aca="false">J25/J22</f>
        <v>0.329297608201706</v>
      </c>
      <c r="K54" s="63" t="n">
        <f aca="false">K25/K22</f>
        <v>0.280339771803426</v>
      </c>
      <c r="L54" s="63" t="n">
        <f aca="false">L25/L22</f>
        <v>0.244932349685017</v>
      </c>
      <c r="M54" s="63" t="n">
        <f aca="false">M25/M22</f>
        <v>0.491753297205858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0.150380245127687</v>
      </c>
      <c r="C55" s="31" t="n">
        <f aca="false">(C22-C20)/C16</f>
        <v>0.13647696298499</v>
      </c>
      <c r="D55" s="31" t="n">
        <f aca="false">(D22-D20)/D16</f>
        <v>0.134511198261723</v>
      </c>
      <c r="E55" s="31" t="n">
        <f aca="false">(E22-E20)/E16</f>
        <v>0.146196432733338</v>
      </c>
      <c r="F55" s="31" t="n">
        <f aca="false">(F22-F20)/F16</f>
        <v>0.14610610742226</v>
      </c>
      <c r="H55" s="29" t="s">
        <v>66</v>
      </c>
      <c r="I55" s="63" t="n">
        <f aca="false">I22/I11</f>
        <v>0.20439703217424</v>
      </c>
      <c r="J55" s="63" t="n">
        <f aca="false">J22/J11</f>
        <v>0.246923049819354</v>
      </c>
      <c r="K55" s="63" t="n">
        <f aca="false">K22/K11</f>
        <v>0.305482603880014</v>
      </c>
      <c r="L55" s="63" t="n">
        <f aca="false">L22/L11</f>
        <v>0.299328725223098</v>
      </c>
      <c r="M55" s="63" t="n">
        <f aca="false">M22/M11</f>
        <v>0.29511199087471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0.176997114609567</v>
      </c>
      <c r="C56" s="31" t="n">
        <f aca="false">(C22-C20)/C20</f>
        <v>0.158046696075137</v>
      </c>
      <c r="D56" s="31" t="n">
        <f aca="false">(D22-D20)/D20</f>
        <v>0.155416451364322</v>
      </c>
      <c r="E56" s="31" t="n">
        <f aca="false">(E22-E20)/E20</f>
        <v>0.171229587622088</v>
      </c>
      <c r="F56" s="31" t="n">
        <f aca="false">(F22-F20)/F20</f>
        <v>0.171105694386915</v>
      </c>
      <c r="H56" s="33" t="s">
        <v>68</v>
      </c>
      <c r="I56" s="34" t="n">
        <f aca="false">I13/B16</f>
        <v>0.141898253511993</v>
      </c>
      <c r="J56" s="34" t="n">
        <f aca="false">J13/C16</f>
        <v>0.144462771479932</v>
      </c>
      <c r="K56" s="34" t="n">
        <f aca="false">K13/D16</f>
        <v>0.168525460481489</v>
      </c>
      <c r="L56" s="34" t="n">
        <f aca="false">L13/E16</f>
        <v>0.186133858527139</v>
      </c>
      <c r="M56" s="34" t="n">
        <f aca="false">M13/F16</f>
        <v>0.19700611399645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0.395117191153455</v>
      </c>
      <c r="C57" s="30" t="n">
        <f aca="false">J11/C16</f>
        <v>0.379640252755315</v>
      </c>
      <c r="D57" s="30" t="n">
        <f aca="false">K11/D16</f>
        <v>0.38874647384039</v>
      </c>
      <c r="E57" s="30" t="n">
        <f aca="false">L11/E16</f>
        <v>0.41609528655643</v>
      </c>
      <c r="F57" s="30" t="n">
        <f aca="false">M11/F16</f>
        <v>0.453010321477878</v>
      </c>
      <c r="H57" s="33" t="s">
        <v>70</v>
      </c>
      <c r="I57" s="35" t="n">
        <f aca="false">I25/$C$5</f>
        <v>41.5288140754994</v>
      </c>
      <c r="J57" s="35" t="n">
        <f aca="false">J25/$C$5</f>
        <v>41.5288140754994</v>
      </c>
      <c r="K57" s="35" t="n">
        <f aca="false">K25/$C$5</f>
        <v>41.5288140754994</v>
      </c>
      <c r="L57" s="35" t="n">
        <f aca="false">L25/$C$5</f>
        <v>34.6073450629162</v>
      </c>
      <c r="M57" s="35" t="n">
        <f aca="false">M25/$C$5</f>
        <v>69.2146901258323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1.17699711460957</v>
      </c>
      <c r="C58" s="30" t="n">
        <f aca="false">C16/C20</f>
        <v>1.15804669607514</v>
      </c>
      <c r="D58" s="30" t="n">
        <f aca="false">D16/D20</f>
        <v>1.15541645136432</v>
      </c>
      <c r="E58" s="30" t="n">
        <f aca="false">E16/E20</f>
        <v>1.17122958762209</v>
      </c>
      <c r="F58" s="30" t="n">
        <f aca="false">F16/F20</f>
        <v>1.17110569438692</v>
      </c>
      <c r="H58" s="36" t="s">
        <v>72</v>
      </c>
      <c r="I58" s="37" t="n">
        <f aca="false">I22/$C$7/1000</f>
        <v>2.59266195997024</v>
      </c>
      <c r="J58" s="37" t="n">
        <f aca="false">J22/$C$7/1000</f>
        <v>3.03934017730613</v>
      </c>
      <c r="K58" s="37" t="n">
        <f aca="false">K22/$C$7/1000</f>
        <v>3.57012294209917</v>
      </c>
      <c r="L58" s="37" t="n">
        <f aca="false">L22/$C$7/1000</f>
        <v>3.40518328219114</v>
      </c>
      <c r="M58" s="37" t="n">
        <f aca="false">M22/$C$7/1000</f>
        <v>3.39210554216607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27.2753282629512</v>
      </c>
      <c r="J59" s="37" t="n">
        <f aca="false">C20/$C$7/1000</f>
        <v>27.9975064219377</v>
      </c>
      <c r="K59" s="37" t="n">
        <f aca="false">D20/$C$7/1000</f>
        <v>26.0190645425837</v>
      </c>
      <c r="L59" s="37" t="n">
        <f aca="false">E20/$C$7/1000</f>
        <v>23.3430319899536</v>
      </c>
      <c r="M59" s="37" t="n">
        <f aca="false">F20/$C$7/1000</f>
        <v>21.6659786396468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39.888637301163</v>
      </c>
      <c r="J60" s="38" t="n">
        <f aca="false">SQRT(22.5*J58*J59)</f>
        <v>43.7562999804952</v>
      </c>
      <c r="K60" s="38" t="n">
        <f aca="false">SQRT(22.5*K58*K59)</f>
        <v>45.7171011028405</v>
      </c>
      <c r="L60" s="38" t="n">
        <f aca="false">SQRT(22.5*L58*L59)</f>
        <v>42.2902388439279</v>
      </c>
      <c r="M60" s="38" t="n">
        <f aca="false">SQRT(22.5*M58*M59)</f>
        <v>40.6644677814667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0.410635698934144</v>
      </c>
      <c r="J61" s="39" t="n">
        <f aca="false">J58-(C20*0.08/1000/$C$7)</f>
        <v>0.799539663551118</v>
      </c>
      <c r="K61" s="39" t="n">
        <f aca="false">K58-(D20*0.08/1000/$C$7)</f>
        <v>1.48859777869248</v>
      </c>
      <c r="L61" s="39" t="n">
        <f aca="false">L58-(E20*0.08/1000/$C$7)</f>
        <v>1.53774072299485</v>
      </c>
      <c r="M61" s="39" t="n">
        <f aca="false">M58-(F20*0.08/1000/$C$7)</f>
        <v>1.65882725099432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I25/B7/1000</f>
        <v>1.00084745089826</v>
      </c>
      <c r="J62" s="41" t="n">
        <f aca="false">J25/C7/1000</f>
        <v>1.00084745089826</v>
      </c>
      <c r="K62" s="41" t="n">
        <f aca="false">K25/C7/1000</f>
        <v>1.00084745089826</v>
      </c>
      <c r="L62" s="41" t="n">
        <v>5.8</v>
      </c>
      <c r="M62" s="41" t="n">
        <v>5.17</v>
      </c>
      <c r="O62" s="6"/>
    </row>
    <row r="63" customFormat="false" ht="15" hidden="false" customHeight="false" outlineLevel="0" collapsed="false">
      <c r="A63" s="2"/>
      <c r="H63" s="6"/>
      <c r="O63" s="6"/>
    </row>
    <row r="64" customFormat="false" ht="15" hidden="false" customHeight="false" outlineLevel="0" collapsed="false">
      <c r="H64" s="6"/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1.1617187391852</v>
      </c>
      <c r="K74" s="6" t="n">
        <f aca="false">K59*$C$7/$C$5</f>
        <v>1.07962596381456</v>
      </c>
      <c r="L74" s="6" t="n">
        <f aca="false">L59*$C$7/$C$5</f>
        <v>0.968587605033292</v>
      </c>
      <c r="M74" s="6" t="n">
        <f aca="false">M59*$C$7/$C$5</f>
        <v>0.899000539874583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0.117435934334904</v>
      </c>
      <c r="K77" s="28" t="n">
        <f aca="false">(K15-K16)/$C$6</f>
        <v>0.136032752058284</v>
      </c>
      <c r="L77" s="28" t="n">
        <f aca="false">(L15-L16)/$C$6</f>
        <v>0.130992379073123</v>
      </c>
      <c r="M77" s="28" t="n">
        <f aca="false">(M15-M16)/$C$6</f>
        <v>0.137791333680497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6" t="n">
        <v>4476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5317293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120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1622408</v>
      </c>
      <c r="C11" s="56" t="n">
        <v>1202545</v>
      </c>
      <c r="D11" s="56" t="n">
        <v>1021605</v>
      </c>
      <c r="E11" s="56" t="n">
        <v>966603</v>
      </c>
      <c r="G11" s="25" t="s">
        <v>7</v>
      </c>
      <c r="H11" s="56" t="n">
        <v>1705051</v>
      </c>
      <c r="I11" s="56" t="n">
        <v>1470186</v>
      </c>
      <c r="J11" s="56" t="n">
        <v>1296623</v>
      </c>
      <c r="K11" s="56" t="n">
        <v>1183150</v>
      </c>
      <c r="M11" s="25" t="s">
        <v>8</v>
      </c>
      <c r="N11" s="56" t="n">
        <v>357054</v>
      </c>
      <c r="O11" s="56" t="n">
        <v>316853</v>
      </c>
      <c r="P11" s="56" t="n">
        <v>266821</v>
      </c>
      <c r="Q11" s="56" t="n">
        <v>232633</v>
      </c>
    </row>
    <row r="12" customFormat="false" ht="15" hidden="false" customHeight="false" outlineLevel="0" collapsed="false">
      <c r="A12" s="25" t="s">
        <v>9</v>
      </c>
      <c r="B12" s="56" t="n">
        <v>366846</v>
      </c>
      <c r="C12" s="56" t="n">
        <v>287945</v>
      </c>
      <c r="D12" s="56" t="n">
        <v>305602</v>
      </c>
      <c r="E12" s="56" t="n">
        <v>283454</v>
      </c>
      <c r="G12" s="25" t="s">
        <v>10</v>
      </c>
      <c r="H12" s="56" t="n">
        <v>872948</v>
      </c>
      <c r="I12" s="56" t="n">
        <v>675649</v>
      </c>
      <c r="J12" s="56" t="n">
        <v>595100</v>
      </c>
      <c r="K12" s="56" t="n">
        <v>564589</v>
      </c>
      <c r="M12" s="25" t="s">
        <v>11</v>
      </c>
      <c r="N12" s="56" t="n">
        <v>25290</v>
      </c>
      <c r="O12" s="56" t="n">
        <v>24938</v>
      </c>
      <c r="P12" s="56" t="n">
        <v>30924</v>
      </c>
      <c r="Q12" s="56" t="n">
        <v>30413</v>
      </c>
    </row>
    <row r="13" customFormat="false" ht="15" hidden="false" customHeight="false" outlineLevel="0" collapsed="false">
      <c r="A13" s="25" t="s">
        <v>12</v>
      </c>
      <c r="B13" s="56" t="n">
        <v>1259775</v>
      </c>
      <c r="C13" s="56" t="n">
        <v>2352647</v>
      </c>
      <c r="D13" s="56" t="n">
        <v>2774919</v>
      </c>
      <c r="E13" s="56" t="n">
        <v>2148028</v>
      </c>
      <c r="G13" s="25" t="s">
        <v>13</v>
      </c>
      <c r="H13" s="56" t="n">
        <v>832103</v>
      </c>
      <c r="I13" s="56" t="n">
        <v>794537</v>
      </c>
      <c r="J13" s="56" t="n">
        <v>701523</v>
      </c>
      <c r="K13" s="56" t="n">
        <v>618561</v>
      </c>
      <c r="M13" s="25" t="s">
        <v>14</v>
      </c>
      <c r="N13" s="58" t="n">
        <v>-265275</v>
      </c>
      <c r="O13" s="58" t="n">
        <v>-143279</v>
      </c>
      <c r="P13" s="58" t="n">
        <v>-63609</v>
      </c>
      <c r="Q13" s="58" t="n">
        <v>-37961</v>
      </c>
    </row>
    <row r="14" customFormat="false" ht="15" hidden="false" customHeight="false" outlineLevel="0" collapsed="false">
      <c r="A14" s="25" t="s">
        <v>15</v>
      </c>
      <c r="B14" s="56" t="n">
        <v>504809</v>
      </c>
      <c r="C14" s="56" t="n">
        <v>304690</v>
      </c>
      <c r="D14" s="56" t="n">
        <v>264021</v>
      </c>
      <c r="E14" s="56" t="n">
        <v>239254</v>
      </c>
      <c r="G14" s="25" t="s">
        <v>16</v>
      </c>
      <c r="H14" s="56" t="n">
        <v>116893</v>
      </c>
      <c r="I14" s="56" t="n">
        <v>99982</v>
      </c>
      <c r="J14" s="56" t="n">
        <v>90902</v>
      </c>
      <c r="K14" s="56" t="n">
        <v>61754</v>
      </c>
      <c r="M14" s="25" t="s">
        <v>9</v>
      </c>
      <c r="N14" s="58" t="n">
        <v>-79220</v>
      </c>
      <c r="O14" s="56" t="n">
        <v>21336</v>
      </c>
      <c r="P14" s="58" t="n">
        <v>-22148</v>
      </c>
      <c r="Q14" s="58" t="n">
        <v>-62388</v>
      </c>
    </row>
    <row r="15" customFormat="false" ht="15" hidden="false" customHeight="false" outlineLevel="0" collapsed="false">
      <c r="A15" s="25" t="s">
        <v>17</v>
      </c>
      <c r="B15" s="56" t="n">
        <v>70602</v>
      </c>
      <c r="C15" s="56" t="n">
        <v>8253</v>
      </c>
      <c r="D15" s="56" t="n">
        <v>3247</v>
      </c>
      <c r="E15" s="56" t="n">
        <v>11354</v>
      </c>
      <c r="G15" s="25" t="s">
        <v>18</v>
      </c>
      <c r="H15" s="56" t="n">
        <v>948996</v>
      </c>
      <c r="I15" s="56" t="n">
        <v>894519</v>
      </c>
      <c r="J15" s="56" t="n">
        <v>792425</v>
      </c>
      <c r="K15" s="56" t="n">
        <v>680315</v>
      </c>
      <c r="M15" s="25" t="s">
        <v>19</v>
      </c>
      <c r="N15" s="58" t="n">
        <v>-33767</v>
      </c>
      <c r="O15" s="58" t="n">
        <v>-44984</v>
      </c>
      <c r="P15" s="58" t="n">
        <v>-20542</v>
      </c>
      <c r="Q15" s="56" t="n">
        <v>1396</v>
      </c>
    </row>
    <row r="16" customFormat="false" ht="15" hidden="false" customHeight="false" outlineLevel="0" collapsed="false">
      <c r="A16" s="25" t="s">
        <v>20</v>
      </c>
      <c r="B16" s="56" t="n">
        <v>3824440</v>
      </c>
      <c r="C16" s="56" t="n">
        <v>4156080</v>
      </c>
      <c r="D16" s="56" t="n">
        <v>4369394</v>
      </c>
      <c r="E16" s="56" t="n">
        <v>3648693</v>
      </c>
      <c r="G16" s="25" t="s">
        <v>21</v>
      </c>
      <c r="H16" s="56" t="n">
        <v>563770</v>
      </c>
      <c r="I16" s="56" t="n">
        <v>527655</v>
      </c>
      <c r="J16" s="56" t="n">
        <v>487015</v>
      </c>
      <c r="K16" s="56" t="n">
        <v>410882</v>
      </c>
      <c r="M16" s="25" t="s">
        <v>22</v>
      </c>
      <c r="N16" s="56" t="n">
        <v>89196</v>
      </c>
      <c r="O16" s="56" t="n">
        <v>21763</v>
      </c>
      <c r="P16" s="58" t="n">
        <v>-19899</v>
      </c>
      <c r="Q16" s="56" t="n">
        <v>13175</v>
      </c>
    </row>
    <row r="17" customFormat="false" ht="15" hidden="false" customHeight="false" outlineLevel="0" collapsed="false">
      <c r="A17" s="25" t="s">
        <v>23</v>
      </c>
      <c r="B17" s="56" t="n">
        <v>883817</v>
      </c>
      <c r="C17" s="56" t="n">
        <v>468080</v>
      </c>
      <c r="D17" s="56" t="n">
        <v>463726</v>
      </c>
      <c r="E17" s="56" t="n">
        <v>426352</v>
      </c>
      <c r="G17" s="25" t="s">
        <v>11</v>
      </c>
      <c r="H17" s="56" t="n">
        <v>6299</v>
      </c>
      <c r="I17" s="56" t="n">
        <v>24938</v>
      </c>
      <c r="J17" s="56" t="n">
        <v>7578</v>
      </c>
      <c r="K17" s="56" t="n">
        <v>7324</v>
      </c>
      <c r="M17" s="25" t="s">
        <v>24</v>
      </c>
      <c r="N17" s="58" t="n">
        <v>-131747</v>
      </c>
      <c r="O17" s="58" t="n">
        <v>-153388</v>
      </c>
      <c r="P17" s="58" t="n">
        <v>-13798</v>
      </c>
      <c r="Q17" s="58" t="n">
        <v>-29684</v>
      </c>
    </row>
    <row r="18" customFormat="false" ht="15" hidden="false" customHeight="false" outlineLevel="0" collapsed="false">
      <c r="A18" s="25" t="s">
        <v>25</v>
      </c>
      <c r="B18" s="56" t="n">
        <v>213167</v>
      </c>
      <c r="C18" s="56" t="n">
        <v>194857</v>
      </c>
      <c r="D18" s="56" t="n">
        <v>179754</v>
      </c>
      <c r="E18" s="56" t="n">
        <v>163563</v>
      </c>
      <c r="G18" s="25" t="s">
        <v>26</v>
      </c>
      <c r="H18" s="56" t="n">
        <v>21873</v>
      </c>
      <c r="I18" s="56" t="n">
        <v>25073</v>
      </c>
      <c r="J18" s="56" t="n">
        <v>31011</v>
      </c>
      <c r="K18" s="56" t="n">
        <v>29476</v>
      </c>
      <c r="M18" s="25" t="s">
        <v>27</v>
      </c>
      <c r="N18" s="58" t="n">
        <v>-224719</v>
      </c>
      <c r="O18" s="58" t="n">
        <v>-46919</v>
      </c>
      <c r="P18" s="58" t="n">
        <v>-47473</v>
      </c>
      <c r="Q18" s="58" t="n">
        <v>-44858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591942</v>
      </c>
      <c r="I19" s="56" t="n">
        <v>577666</v>
      </c>
      <c r="J19" s="56" t="n">
        <v>525604</v>
      </c>
      <c r="K19" s="56" t="n">
        <v>447682</v>
      </c>
      <c r="M19" s="25" t="s">
        <v>30</v>
      </c>
      <c r="N19" s="56" t="n">
        <v>229162</v>
      </c>
      <c r="O19" s="56" t="n">
        <v>69951</v>
      </c>
      <c r="P19" s="58" t="n">
        <v>-13297</v>
      </c>
      <c r="Q19" s="58" t="n">
        <v>-105889</v>
      </c>
    </row>
    <row r="20" customFormat="false" ht="15" hidden="false" customHeight="false" outlineLevel="0" collapsed="false">
      <c r="A20" s="25" t="s">
        <v>31</v>
      </c>
      <c r="B20" s="56" t="n">
        <v>2727456</v>
      </c>
      <c r="C20" s="56" t="n">
        <v>3493143</v>
      </c>
      <c r="D20" s="56" t="n">
        <v>3725914</v>
      </c>
      <c r="E20" s="56" t="n">
        <v>3058778</v>
      </c>
      <c r="G20" s="25" t="s">
        <v>32</v>
      </c>
      <c r="H20" s="56" t="n">
        <v>357054</v>
      </c>
      <c r="I20" s="56" t="n">
        <v>316853</v>
      </c>
      <c r="J20" s="56" t="n">
        <v>266821</v>
      </c>
      <c r="K20" s="56" t="n">
        <v>232633</v>
      </c>
      <c r="M20" s="25" t="s">
        <v>33</v>
      </c>
      <c r="N20" s="56" t="n">
        <v>281456</v>
      </c>
      <c r="O20" s="57"/>
      <c r="P20" s="57"/>
      <c r="Q20" s="56" t="n">
        <v>20000</v>
      </c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7"/>
      <c r="I21" s="57"/>
      <c r="J21" s="57"/>
      <c r="K21" s="57"/>
      <c r="M21" s="25" t="s">
        <v>36</v>
      </c>
      <c r="N21" s="58" t="n">
        <v>-131318</v>
      </c>
      <c r="O21" s="58" t="n">
        <v>-60103</v>
      </c>
      <c r="P21" s="58" t="n">
        <v>-144375</v>
      </c>
      <c r="Q21" s="58" t="n">
        <v>-148336</v>
      </c>
    </row>
    <row r="22" customFormat="false" ht="15" hidden="false" customHeight="false" outlineLevel="0" collapsed="false">
      <c r="A22" s="25" t="s">
        <v>37</v>
      </c>
      <c r="B22" s="56" t="n">
        <v>3824440</v>
      </c>
      <c r="C22" s="56" t="n">
        <v>4156080</v>
      </c>
      <c r="D22" s="56" t="n">
        <v>4369394</v>
      </c>
      <c r="E22" s="56" t="n">
        <v>3648693</v>
      </c>
      <c r="G22" s="25" t="s">
        <v>8</v>
      </c>
      <c r="H22" s="56" t="n">
        <v>357054</v>
      </c>
      <c r="I22" s="56" t="n">
        <v>316853</v>
      </c>
      <c r="J22" s="56" t="n">
        <v>266821</v>
      </c>
      <c r="K22" s="56" t="n">
        <v>232633</v>
      </c>
      <c r="M22" s="25" t="s">
        <v>38</v>
      </c>
      <c r="N22" s="56" t="n">
        <v>139579</v>
      </c>
      <c r="O22" s="56" t="n">
        <v>133411</v>
      </c>
      <c r="P22" s="56" t="n">
        <v>166132</v>
      </c>
      <c r="Q22" s="56" t="n">
        <v>297631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6" t="n">
        <v>331706</v>
      </c>
      <c r="M23" s="25" t="s">
        <v>40</v>
      </c>
      <c r="N23" s="56" t="n">
        <v>255691</v>
      </c>
      <c r="O23" s="56" t="n">
        <v>139579</v>
      </c>
      <c r="P23" s="56" t="n">
        <v>118736</v>
      </c>
      <c r="Q23" s="56" t="n">
        <v>166132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6" t="n">
        <v>11632</v>
      </c>
      <c r="M24" s="2" t="s">
        <v>42</v>
      </c>
      <c r="N24" s="12" t="n">
        <f aca="false">SUM(N11:N17)</f>
        <v>-38469</v>
      </c>
      <c r="O24" s="12" t="n">
        <f aca="false">SUM(O11:O17)</f>
        <v>43239</v>
      </c>
      <c r="P24" s="12" t="n">
        <f aca="false">SUM(P11:P17)</f>
        <v>157749</v>
      </c>
      <c r="Q24" s="12" t="n">
        <f aca="false">SUM(Q11:Q17)</f>
        <v>147584</v>
      </c>
    </row>
    <row r="25" customFormat="false" ht="15" hidden="false" customHeight="false" outlineLevel="0" collapsed="false">
      <c r="G25" s="25" t="s">
        <v>43</v>
      </c>
      <c r="H25" s="57"/>
      <c r="I25" s="57"/>
      <c r="J25" s="57"/>
      <c r="K25" s="56" t="n">
        <v>150031</v>
      </c>
      <c r="M25" s="2" t="s">
        <v>44</v>
      </c>
      <c r="N25" s="12" t="n">
        <f aca="false">N18+N19</f>
        <v>4443</v>
      </c>
      <c r="O25" s="12" t="n">
        <f aca="false">O18+O19</f>
        <v>23032</v>
      </c>
      <c r="P25" s="12" t="n">
        <f aca="false">P18+P19</f>
        <v>-60770</v>
      </c>
      <c r="Q25" s="12" t="n">
        <f aca="false">Q18+Q19</f>
        <v>-150747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6" t="n">
        <v>33652</v>
      </c>
      <c r="M26" s="2" t="s">
        <v>46</v>
      </c>
      <c r="N26" s="12" t="n">
        <f aca="false">N20+N21</f>
        <v>150138</v>
      </c>
      <c r="O26" s="12" t="n">
        <f aca="false">O20+O21</f>
        <v>-60103</v>
      </c>
      <c r="P26" s="12" t="n">
        <f aca="false">P20+P21</f>
        <v>-144375</v>
      </c>
      <c r="Q26" s="12" t="n">
        <f aca="false">Q20+Q21</f>
        <v>-128336</v>
      </c>
    </row>
    <row r="27" customFormat="false" ht="15" hidden="false" customHeight="false" outlineLevel="0" collapsed="false">
      <c r="G27" s="25" t="s">
        <v>47</v>
      </c>
      <c r="H27" s="57"/>
      <c r="I27" s="57"/>
      <c r="J27" s="57"/>
      <c r="K27" s="56" t="n">
        <v>369024</v>
      </c>
      <c r="M27" s="2" t="s">
        <v>48</v>
      </c>
      <c r="N27" s="12" t="n">
        <f aca="false">N24+N25+N26</f>
        <v>116112</v>
      </c>
      <c r="O27" s="12" t="n">
        <f aca="false">O24+O25+O26</f>
        <v>6168</v>
      </c>
      <c r="P27" s="12" t="n">
        <f aca="false">P24+P25+P26</f>
        <v>-47396</v>
      </c>
      <c r="Q27" s="12" t="n">
        <f aca="false">Q24+Q25+Q26</f>
        <v>-131499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0.424221062430055</v>
      </c>
      <c r="C30" s="24" t="n">
        <f aca="false">C11/C$16</f>
        <v>0.289345970241189</v>
      </c>
      <c r="D30" s="24" t="n">
        <f aca="false">D11/D$16</f>
        <v>0.23380931085638</v>
      </c>
      <c r="E30" s="24" t="n">
        <f aca="false">E11/E$16</f>
        <v>0.264917602001593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0.209409571913098</v>
      </c>
      <c r="O30" s="26" t="n">
        <f aca="false">O11/I$11</f>
        <v>0.215518988753804</v>
      </c>
      <c r="P30" s="26" t="n">
        <f aca="false">P11/J$11</f>
        <v>0.205781480044701</v>
      </c>
      <c r="Q30" s="26" t="n">
        <f aca="false">Q11/K$11</f>
        <v>0.196621730127203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0.095921494388721</v>
      </c>
      <c r="C31" s="24" t="n">
        <f aca="false">C12/C$16</f>
        <v>0.0692828338241805</v>
      </c>
      <c r="D31" s="24" t="n">
        <f aca="false">D12/D$16</f>
        <v>0.0699415067627227</v>
      </c>
      <c r="E31" s="24" t="n">
        <f aca="false">E12/E$16</f>
        <v>0.0776864482706547</v>
      </c>
      <c r="F31" s="6"/>
      <c r="G31" s="25" t="s">
        <v>10</v>
      </c>
      <c r="H31" s="24" t="n">
        <f aca="false">H12/H$11</f>
        <v>0.511977647589427</v>
      </c>
      <c r="I31" s="24" t="n">
        <f aca="false">I12/I$11</f>
        <v>0.459567020771521</v>
      </c>
      <c r="J31" s="24" t="n">
        <f aca="false">J12/J$11</f>
        <v>0.458961471453152</v>
      </c>
      <c r="K31" s="24" t="n">
        <f aca="false">K12/K$11</f>
        <v>0.477191395850061</v>
      </c>
      <c r="L31" s="6"/>
      <c r="M31" s="25" t="s">
        <v>11</v>
      </c>
      <c r="N31" s="26" t="n">
        <f aca="false">N12/H$11</f>
        <v>0.0148324009076561</v>
      </c>
      <c r="O31" s="26" t="n">
        <f aca="false">O12/I$11</f>
        <v>0.016962479577414</v>
      </c>
      <c r="P31" s="26" t="n">
        <f aca="false">P12/J$11</f>
        <v>0.0238496463505583</v>
      </c>
      <c r="Q31" s="26" t="n">
        <f aca="false">Q12/K$11</f>
        <v>0.025705109242277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0.329401167229712</v>
      </c>
      <c r="C32" s="24" t="n">
        <f aca="false">C13/C$16</f>
        <v>0.566073559700487</v>
      </c>
      <c r="D32" s="24" t="n">
        <f aca="false">D13/D$16</f>
        <v>0.635080974615702</v>
      </c>
      <c r="E32" s="24" t="n">
        <f aca="false">E13/E$16</f>
        <v>0.588711629068272</v>
      </c>
      <c r="F32" s="6"/>
      <c r="G32" s="25" t="s">
        <v>13</v>
      </c>
      <c r="H32" s="24" t="n">
        <f aca="false">H13/H$11</f>
        <v>0.488022352410573</v>
      </c>
      <c r="I32" s="24" t="n">
        <f aca="false">I13/I$11</f>
        <v>0.540432979228479</v>
      </c>
      <c r="J32" s="24" t="n">
        <f aca="false">J13/J$11</f>
        <v>0.541038528546848</v>
      </c>
      <c r="K32" s="24" t="n">
        <f aca="false">K13/K$11</f>
        <v>0.522808604149939</v>
      </c>
      <c r="L32" s="6"/>
      <c r="M32" s="25" t="s">
        <v>14</v>
      </c>
      <c r="N32" s="26" t="n">
        <f aca="false">N13/H$11</f>
        <v>-0.155581856495788</v>
      </c>
      <c r="O32" s="26" t="n">
        <f aca="false">O13/I$11</f>
        <v>-0.0974563762680368</v>
      </c>
      <c r="P32" s="26" t="n">
        <f aca="false">P13/J$11</f>
        <v>-0.0490574361244556</v>
      </c>
      <c r="Q32" s="26" t="n">
        <f aca="false">Q13/K$11</f>
        <v>-0.0320846891771965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0.131995533986675</v>
      </c>
      <c r="C33" s="24" t="n">
        <f aca="false">C14/C$16</f>
        <v>0.073311870801332</v>
      </c>
      <c r="D33" s="24" t="n">
        <f aca="false">D14/D$16</f>
        <v>0.0604250841192165</v>
      </c>
      <c r="E33" s="24" t="n">
        <f aca="false">E14/E$16</f>
        <v>0.0655725214480911</v>
      </c>
      <c r="F33" s="6"/>
      <c r="G33" s="25" t="s">
        <v>16</v>
      </c>
      <c r="H33" s="24" t="n">
        <f aca="false">H14/H$11</f>
        <v>0.068556893606115</v>
      </c>
      <c r="I33" s="24" t="n">
        <f aca="false">I14/I$11</f>
        <v>0.068006361099888</v>
      </c>
      <c r="J33" s="24" t="n">
        <f aca="false">J14/J$11</f>
        <v>0.0701067311007132</v>
      </c>
      <c r="K33" s="24" t="n">
        <f aca="false">K14/K$11</f>
        <v>0.0521945653551959</v>
      </c>
      <c r="L33" s="6"/>
      <c r="M33" s="25" t="s">
        <v>9</v>
      </c>
      <c r="N33" s="26" t="n">
        <f aca="false">N14/H$11</f>
        <v>-0.0464619533374662</v>
      </c>
      <c r="O33" s="26" t="n">
        <f aca="false">O14/I$11</f>
        <v>0.0145124494451722</v>
      </c>
      <c r="P33" s="26" t="n">
        <f aca="false">P14/J$11</f>
        <v>-0.0170812950256165</v>
      </c>
      <c r="Q33" s="26" t="n">
        <f aca="false">Q14/K$11</f>
        <v>-0.0527304230232853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0.0184607419648367</v>
      </c>
      <c r="C34" s="24" t="n">
        <f aca="false">C15/C$16</f>
        <v>0.00198576543281169</v>
      </c>
      <c r="D34" s="24" t="n">
        <f aca="false">D15/D$16</f>
        <v>0.000743123645979282</v>
      </c>
      <c r="E34" s="24" t="n">
        <f aca="false">E15/E$16</f>
        <v>0.00311179921138885</v>
      </c>
      <c r="F34" s="6"/>
      <c r="G34" s="25" t="s">
        <v>18</v>
      </c>
      <c r="H34" s="24" t="n">
        <f aca="false">H15/H$11</f>
        <v>0.556579246016688</v>
      </c>
      <c r="I34" s="24" t="n">
        <f aca="false">I15/I$11</f>
        <v>0.608439340328367</v>
      </c>
      <c r="J34" s="24" t="n">
        <f aca="false">J15/J$11</f>
        <v>0.611145259647561</v>
      </c>
      <c r="K34" s="24" t="n">
        <f aca="false">K15/K$11</f>
        <v>0.575003169505135</v>
      </c>
      <c r="L34" s="6"/>
      <c r="M34" s="25" t="s">
        <v>19</v>
      </c>
      <c r="N34" s="26" t="n">
        <f aca="false">N15/H$11</f>
        <v>-0.0198040997014166</v>
      </c>
      <c r="O34" s="26" t="n">
        <f aca="false">O15/I$11</f>
        <v>-0.0305974890251982</v>
      </c>
      <c r="P34" s="26" t="n">
        <f aca="false">P15/J$11</f>
        <v>-0.0158426929030258</v>
      </c>
      <c r="Q34" s="26" t="n">
        <f aca="false">Q15/K$11</f>
        <v>0.0011799011114398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0.330647001174745</v>
      </c>
      <c r="I35" s="24" t="n">
        <f aca="false">I16/I$11</f>
        <v>0.358903567303729</v>
      </c>
      <c r="J35" s="24" t="n">
        <f aca="false">J16/J$11</f>
        <v>0.375602623121756</v>
      </c>
      <c r="K35" s="24" t="n">
        <f aca="false">K16/K$11</f>
        <v>0.347278028990407</v>
      </c>
      <c r="L35" s="6"/>
      <c r="M35" s="25" t="s">
        <v>22</v>
      </c>
      <c r="N35" s="26" t="n">
        <f aca="false">N16/H$11</f>
        <v>0.0523128047196242</v>
      </c>
      <c r="O35" s="26" t="n">
        <f aca="false">O16/I$11</f>
        <v>0.0148028888861681</v>
      </c>
      <c r="P35" s="26" t="n">
        <f aca="false">P16/J$11</f>
        <v>-0.0153467893134705</v>
      </c>
      <c r="Q35" s="26" t="n">
        <f aca="false">Q16/K$11</f>
        <v>0.0111355280395554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0.23109710179791</v>
      </c>
      <c r="C36" s="24" t="n">
        <f aca="false">C17/C$16</f>
        <v>0.112625358510905</v>
      </c>
      <c r="D36" s="24" t="n">
        <f aca="false">D17/D$16</f>
        <v>0.106130506884936</v>
      </c>
      <c r="E36" s="24" t="n">
        <f aca="false">E17/E$16</f>
        <v>0.116850609245557</v>
      </c>
      <c r="F36" s="6"/>
      <c r="G36" s="25" t="s">
        <v>11</v>
      </c>
      <c r="H36" s="24" t="n">
        <f aca="false">H17/H$11</f>
        <v>0.00369431764797651</v>
      </c>
      <c r="I36" s="24" t="n">
        <f aca="false">I17/I$11</f>
        <v>0.016962479577414</v>
      </c>
      <c r="J36" s="24" t="n">
        <f aca="false">J17/J$11</f>
        <v>0.00584441275528816</v>
      </c>
      <c r="K36" s="24" t="n">
        <f aca="false">K17/K$11</f>
        <v>0.00619025482821282</v>
      </c>
      <c r="L36" s="6"/>
      <c r="M36" s="25" t="s">
        <v>24</v>
      </c>
      <c r="N36" s="26" t="n">
        <f aca="false">N17/H$11</f>
        <v>-0.0772686564800701</v>
      </c>
      <c r="O36" s="26" t="n">
        <f aca="false">O17/I$11</f>
        <v>-0.104332376991755</v>
      </c>
      <c r="P36" s="26" t="n">
        <f aca="false">P17/J$11</f>
        <v>-0.0106414894691826</v>
      </c>
      <c r="Q36" s="26" t="n">
        <f aca="false">Q17/K$11</f>
        <v>-0.0250889574441111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0.0557380949890703</v>
      </c>
      <c r="C37" s="24" t="n">
        <f aca="false">C18/C$16</f>
        <v>0.0468848049123212</v>
      </c>
      <c r="D37" s="24" t="n">
        <f aca="false">D18/D$16</f>
        <v>0.0411393433505882</v>
      </c>
      <c r="E37" s="24" t="n">
        <f aca="false">E18/E$16</f>
        <v>0.0448278328705649</v>
      </c>
      <c r="F37" s="6"/>
      <c r="G37" s="25" t="s">
        <v>26</v>
      </c>
      <c r="H37" s="24" t="n">
        <f aca="false">H18/H$11</f>
        <v>0.0128283552808684</v>
      </c>
      <c r="I37" s="24" t="n">
        <f aca="false">I18/I$11</f>
        <v>0.0170543046934197</v>
      </c>
      <c r="J37" s="24" t="n">
        <f aca="false">J18/J$11</f>
        <v>0.023916743725817</v>
      </c>
      <c r="K37" s="24" t="n">
        <f aca="false">K18/K$11</f>
        <v>0.024913155559312</v>
      </c>
      <c r="L37" s="6"/>
      <c r="M37" s="25" t="s">
        <v>27</v>
      </c>
      <c r="N37" s="26" t="n">
        <f aca="false">N18/H$11</f>
        <v>-0.13179605771323</v>
      </c>
      <c r="O37" s="26" t="n">
        <f aca="false">O18/I$11</f>
        <v>-0.0319136490212803</v>
      </c>
      <c r="P37" s="26" t="n">
        <f aca="false">P18/J$11</f>
        <v>-0.0366128010994715</v>
      </c>
      <c r="Q37" s="26" t="n">
        <f aca="false">Q18/K$11</f>
        <v>-0.0379140430207497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0.34716967410359</v>
      </c>
      <c r="I38" s="24" t="n">
        <f aca="false">I19/I$11</f>
        <v>0.392920351574563</v>
      </c>
      <c r="J38" s="24" t="n">
        <f aca="false">J19/J$11</f>
        <v>0.405363779602861</v>
      </c>
      <c r="K38" s="24" t="n">
        <f aca="false">K19/K$11</f>
        <v>0.378381439377932</v>
      </c>
      <c r="L38" s="6"/>
      <c r="M38" s="25" t="s">
        <v>30</v>
      </c>
      <c r="N38" s="26" t="n">
        <f aca="false">N19/H$11</f>
        <v>0.134401844871502</v>
      </c>
      <c r="O38" s="26" t="n">
        <f aca="false">O19/I$11</f>
        <v>0.0475796939979023</v>
      </c>
      <c r="P38" s="26" t="n">
        <f aca="false">P19/J$11</f>
        <v>-0.0102551011357966</v>
      </c>
      <c r="Q38" s="26" t="n">
        <f aca="false">Q19/K$11</f>
        <v>-0.089497527785995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0.713164803213019</v>
      </c>
      <c r="C39" s="24" t="n">
        <f aca="false">C20/C$16</f>
        <v>0.840489836576774</v>
      </c>
      <c r="D39" s="24" t="n">
        <f aca="false">D20/D$16</f>
        <v>0.852730149764475</v>
      </c>
      <c r="E39" s="24" t="n">
        <f aca="false">E20/E$16</f>
        <v>0.838321557883878</v>
      </c>
      <c r="F39" s="6"/>
      <c r="G39" s="25" t="s">
        <v>32</v>
      </c>
      <c r="H39" s="24" t="n">
        <f aca="false">H20/H$11</f>
        <v>0.209409571913098</v>
      </c>
      <c r="I39" s="24" t="n">
        <f aca="false">I20/I$11</f>
        <v>0.215518988753804</v>
      </c>
      <c r="J39" s="24" t="n">
        <f aca="false">J20/J$11</f>
        <v>0.205781480044701</v>
      </c>
      <c r="K39" s="24" t="n">
        <f aca="false">K20/K$11</f>
        <v>0.196621730127203</v>
      </c>
      <c r="L39" s="6"/>
      <c r="M39" s="25" t="s">
        <v>33</v>
      </c>
      <c r="N39" s="26" t="n">
        <f aca="false">N20/H$11</f>
        <v>0.165071895210173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0.0169040273845244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</v>
      </c>
      <c r="I40" s="24" t="n">
        <f aca="false">I21/I$11</f>
        <v>0</v>
      </c>
      <c r="J40" s="24" t="n">
        <f aca="false">J21/J$11</f>
        <v>0</v>
      </c>
      <c r="K40" s="24" t="n">
        <f aca="false">K21/K$11</f>
        <v>0</v>
      </c>
      <c r="L40" s="6"/>
      <c r="M40" s="25" t="s">
        <v>36</v>
      </c>
      <c r="N40" s="26" t="n">
        <f aca="false">N21/H$11</f>
        <v>-0.0770170511028702</v>
      </c>
      <c r="O40" s="26" t="n">
        <f aca="false">O21/I$11</f>
        <v>-0.0408812218317954</v>
      </c>
      <c r="P40" s="26" t="n">
        <f aca="false">P21/J$11</f>
        <v>-0.111346937390437</v>
      </c>
      <c r="Q40" s="26" t="n">
        <f aca="false">Q21/K$11</f>
        <v>-0.12537379030554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0.209409571913098</v>
      </c>
      <c r="I41" s="24" t="n">
        <f aca="false">I22/I$11</f>
        <v>0.215518988753804</v>
      </c>
      <c r="J41" s="24" t="n">
        <f aca="false">J22/J$11</f>
        <v>0.205781480044701</v>
      </c>
      <c r="K41" s="24" t="n">
        <f aca="false">K22/K$11</f>
        <v>0.196621730127203</v>
      </c>
      <c r="L41" s="6"/>
      <c r="M41" s="25" t="s">
        <v>38</v>
      </c>
      <c r="N41" s="26" t="n">
        <f aca="false">N22/H$11</f>
        <v>0.0818620674689496</v>
      </c>
      <c r="O41" s="26" t="n">
        <f aca="false">O22/I$11</f>
        <v>0.0907443003810402</v>
      </c>
      <c r="P41" s="26" t="n">
        <f aca="false">P22/J$11</f>
        <v>0.128126679844488</v>
      </c>
      <c r="Q41" s="26" t="n">
        <f aca="false">Q22/K$11</f>
        <v>0.251558128724169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0.280358365380552</v>
      </c>
      <c r="L42" s="6"/>
      <c r="M42" s="25" t="s">
        <v>40</v>
      </c>
      <c r="N42" s="26" t="n">
        <f aca="false">N23/H$11</f>
        <v>0.149960910260162</v>
      </c>
      <c r="O42" s="26" t="n">
        <f aca="false">O23/I$11</f>
        <v>0.0949396879034354</v>
      </c>
      <c r="P42" s="26" t="n">
        <f aca="false">P23/J$11</f>
        <v>0.0915732637782918</v>
      </c>
      <c r="Q42" s="26" t="n">
        <f aca="false">Q23/K$11</f>
        <v>0.14041499387229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0.00983138232683937</v>
      </c>
      <c r="L43" s="6"/>
      <c r="M43" s="2" t="s">
        <v>49</v>
      </c>
      <c r="N43" s="26" t="n">
        <f aca="false">N24/H11</f>
        <v>-0.0225617884743624</v>
      </c>
      <c r="O43" s="26" t="n">
        <f aca="false">O24/I11</f>
        <v>0.0294105643775686</v>
      </c>
      <c r="P43" s="26" t="n">
        <f aca="false">P24/J11</f>
        <v>0.121661423559508</v>
      </c>
      <c r="Q43" s="26" t="n">
        <f aca="false">Q24/K11</f>
        <v>0.124738198875882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0.126806406626379</v>
      </c>
      <c r="L44" s="6"/>
      <c r="M44" s="2" t="s">
        <v>50</v>
      </c>
      <c r="N44" s="26" t="n">
        <f aca="false">N24/B16</f>
        <v>-0.0100587275522691</v>
      </c>
      <c r="O44" s="26" t="n">
        <f aca="false">O24/C16</f>
        <v>0.0104037939596928</v>
      </c>
      <c r="P44" s="26" t="n">
        <f aca="false">P24/D16</f>
        <v>0.0361031758637468</v>
      </c>
      <c r="Q44" s="26" t="n">
        <f aca="false">Q24/E16</f>
        <v>0.0404484564746883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0.0284427164772007</v>
      </c>
      <c r="L45" s="6"/>
      <c r="M45" s="2" t="s">
        <v>51</v>
      </c>
      <c r="N45" s="26" t="n">
        <f aca="false">N24/B20</f>
        <v>-0.014104352187533</v>
      </c>
      <c r="O45" s="26" t="n">
        <f aca="false">O24/C20</f>
        <v>0.0123782507615634</v>
      </c>
      <c r="P45" s="26" t="n">
        <f aca="false">P24/D20</f>
        <v>0.0423383363115735</v>
      </c>
      <c r="Q45" s="26" t="n">
        <f aca="false">Q24/E20</f>
        <v>0.048249333557388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0.311899590077336</v>
      </c>
      <c r="L46" s="6"/>
      <c r="M46" s="2" t="s">
        <v>52</v>
      </c>
      <c r="N46" s="26" t="n">
        <f aca="false">N24/H22</f>
        <v>-0.107740005713422</v>
      </c>
      <c r="O46" s="26" t="n">
        <f aca="false">O24/I22</f>
        <v>0.136463912287401</v>
      </c>
      <c r="P46" s="26" t="n">
        <f aca="false">P24/J22</f>
        <v>0.591216583402356</v>
      </c>
      <c r="Q46" s="26" t="n">
        <f aca="false">Q24/K22</f>
        <v>0.634406984391724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-0.0350679681745586</v>
      </c>
      <c r="O47" s="26" t="n">
        <f aca="false">O24/(C22-C20)</f>
        <v>0.0652233922680436</v>
      </c>
      <c r="P47" s="26" t="n">
        <f aca="false">P24/(D22-D20)</f>
        <v>0.245149810405918</v>
      </c>
      <c r="Q47" s="26" t="n">
        <f aca="false">Q24/(E22-E20)</f>
        <v>0.250178415534441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n">
        <f aca="false">Q24/K25</f>
        <v>0.983690037392272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-0.171187127034207</v>
      </c>
      <c r="O49" s="26" t="n">
        <f aca="false">O24/(O18*-1)</f>
        <v>0.921566955817473</v>
      </c>
      <c r="P49" s="26" t="n">
        <f aca="false">P24/(P18*-1)</f>
        <v>3.32292039685716</v>
      </c>
      <c r="Q49" s="26" t="n">
        <f aca="false">Q24/(Q18*-1)</f>
        <v>3.29002630522984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0.0461966761734499</v>
      </c>
      <c r="I50" s="28" t="n">
        <f aca="false">LN(I13/J13)</f>
        <v>0.124505869172049</v>
      </c>
      <c r="J50" s="28" t="n">
        <f aca="false">LN(J13/K13)</f>
        <v>0.12585787321358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1.83568317875759</v>
      </c>
      <c r="C51" s="30" t="n">
        <f aca="false">C11/C17</f>
        <v>2.56910143565203</v>
      </c>
      <c r="D51" s="30" t="n">
        <f aca="false">D11/D17</f>
        <v>2.20303584444262</v>
      </c>
      <c r="E51" s="30" t="n">
        <f aca="false">E11/E17</f>
        <v>2.26714780275453</v>
      </c>
      <c r="G51" s="29" t="s">
        <v>58</v>
      </c>
      <c r="H51" s="63" t="n">
        <f aca="false">H13/H11</f>
        <v>0.488022352410573</v>
      </c>
      <c r="I51" s="63" t="n">
        <f aca="false">I13/I11</f>
        <v>0.540432979228479</v>
      </c>
      <c r="J51" s="63" t="n">
        <f aca="false">J13/J11</f>
        <v>0.541038528546848</v>
      </c>
      <c r="K51" s="63" t="n">
        <f aca="false">K13/K11</f>
        <v>0.522808604149939</v>
      </c>
      <c r="M51" s="2" t="s">
        <v>59</v>
      </c>
      <c r="N51" s="32" t="n">
        <f aca="false">(N11-N24-N25)/B16</f>
        <v>0.102258108376651</v>
      </c>
      <c r="O51" s="32" t="n">
        <f aca="false">(O11-O24-O25)/C16</f>
        <v>0.0602928721295067</v>
      </c>
      <c r="P51" s="32" t="n">
        <f aca="false">(P11-P24-P25)/D16</f>
        <v>0.0388708365507894</v>
      </c>
      <c r="Q51" s="32" t="n">
        <f aca="false">(Q11-Q24-Q25)/E16</f>
        <v>0.0646247848202082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0.093361119536455</v>
      </c>
      <c r="C52" s="31" t="n">
        <f aca="false">I20/C16</f>
        <v>0.0762384265942908</v>
      </c>
      <c r="D52" s="31" t="n">
        <f aca="false">J20/D16</f>
        <v>0.0610659052491032</v>
      </c>
      <c r="E52" s="31" t="n">
        <f aca="false">K20/E16</f>
        <v>0.0637578990613899</v>
      </c>
      <c r="F52" s="31"/>
      <c r="G52" s="29" t="s">
        <v>61</v>
      </c>
      <c r="H52" s="63" t="n">
        <f aca="false">H16/H11</f>
        <v>0.330647001174745</v>
      </c>
      <c r="I52" s="63" t="n">
        <f aca="false">I16/I11</f>
        <v>0.358903567303729</v>
      </c>
      <c r="J52" s="63" t="n">
        <f aca="false">J16/J11</f>
        <v>0.375602623121756</v>
      </c>
      <c r="K52" s="63" t="n">
        <f aca="false">K16/K11</f>
        <v>0.347278028990407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0.130911002780613</v>
      </c>
      <c r="C53" s="31" t="n">
        <f aca="false">I20/C20</f>
        <v>0.0907071368106029</v>
      </c>
      <c r="D53" s="31" t="n">
        <f aca="false">J20/D20</f>
        <v>0.0716122272280037</v>
      </c>
      <c r="E53" s="31" t="n">
        <f aca="false">K20/E20</f>
        <v>0.0760542281917812</v>
      </c>
      <c r="G53" s="29" t="s">
        <v>11</v>
      </c>
      <c r="H53" s="63" t="n">
        <f aca="false">H17/H11</f>
        <v>0.00369431764797651</v>
      </c>
      <c r="I53" s="63" t="n">
        <f aca="false">I17/I11</f>
        <v>0.016962479577414</v>
      </c>
      <c r="J53" s="63" t="n">
        <f aca="false">J17/J11</f>
        <v>0.00584441275528816</v>
      </c>
      <c r="K53" s="63" t="n">
        <f aca="false">K17/K11</f>
        <v>0.00619025482821282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4.64786586196933</v>
      </c>
      <c r="C54" s="30" t="n">
        <f aca="false">I11/C12</f>
        <v>5.10578756359721</v>
      </c>
      <c r="D54" s="30" t="n">
        <f aca="false">J11/D12</f>
        <v>4.24284854156714</v>
      </c>
      <c r="E54" s="30" t="n">
        <f aca="false">K11/E12</f>
        <v>4.17404587693241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0.644925698417679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0.286835196786981</v>
      </c>
      <c r="C55" s="31" t="n">
        <f aca="false">(C22-C20)/C16</f>
        <v>0.159510163423226</v>
      </c>
      <c r="D55" s="31" t="n">
        <f aca="false">(D22-D20)/D16</f>
        <v>0.147269850235525</v>
      </c>
      <c r="E55" s="31" t="n">
        <f aca="false">(E22-E20)/E16</f>
        <v>0.161678442116122</v>
      </c>
      <c r="G55" s="29" t="s">
        <v>66</v>
      </c>
      <c r="H55" s="63" t="n">
        <f aca="false">H22/H11</f>
        <v>0.209409571913098</v>
      </c>
      <c r="I55" s="63" t="n">
        <f aca="false">I22/I11</f>
        <v>0.215518988753804</v>
      </c>
      <c r="J55" s="63" t="n">
        <f aca="false">J22/J11</f>
        <v>0.205781480044701</v>
      </c>
      <c r="K55" s="63" t="n">
        <f aca="false">K22/K11</f>
        <v>0.196621730127203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0.402200438797179</v>
      </c>
      <c r="C56" s="31" t="n">
        <f aca="false">(C22-C20)/C20</f>
        <v>0.189782382227123</v>
      </c>
      <c r="D56" s="31" t="n">
        <f aca="false">(D22-D20)/D20</f>
        <v>0.172703932511593</v>
      </c>
      <c r="E56" s="31" t="n">
        <f aca="false">(E22-E20)/E20</f>
        <v>0.192859697565498</v>
      </c>
      <c r="G56" s="33" t="s">
        <v>68</v>
      </c>
      <c r="H56" s="34" t="n">
        <f aca="false">H13/B16</f>
        <v>0.217575122109381</v>
      </c>
      <c r="I56" s="34" t="n">
        <f aca="false">I13/C16</f>
        <v>0.191174616465516</v>
      </c>
      <c r="J56" s="34" t="n">
        <f aca="false">J13/D16</f>
        <v>0.160553843393386</v>
      </c>
      <c r="K56" s="34" t="n">
        <f aca="false">K13/E16</f>
        <v>0.169529472608411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0.445830239198419</v>
      </c>
      <c r="C57" s="30" t="n">
        <f aca="false">I11/C16</f>
        <v>0.353743431310273</v>
      </c>
      <c r="D57" s="30" t="n">
        <f aca="false">J11/D16</f>
        <v>0.296751219963226</v>
      </c>
      <c r="E57" s="30" t="n">
        <f aca="false">K11/E16</f>
        <v>0.324266799097649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33.5189901697945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1.40220043879718</v>
      </c>
      <c r="C58" s="30" t="n">
        <f aca="false">C16/C20</f>
        <v>1.18978238222712</v>
      </c>
      <c r="D58" s="30" t="n">
        <f aca="false">D16/D20</f>
        <v>1.17270393251159</v>
      </c>
      <c r="E58" s="30" t="n">
        <f aca="false">E16/E20</f>
        <v>1.1928596975655</v>
      </c>
      <c r="G58" s="36" t="s">
        <v>72</v>
      </c>
      <c r="H58" s="37" t="n">
        <f aca="false">H22/$B$7/1000</f>
        <v>2.97545</v>
      </c>
      <c r="I58" s="37" t="n">
        <f aca="false">I22/$B$7/1000</f>
        <v>2.64044166666667</v>
      </c>
      <c r="J58" s="37" t="n">
        <f aca="false">J22/$B$7/1000</f>
        <v>2.22350833333333</v>
      </c>
      <c r="K58" s="37" t="n">
        <f aca="false">K22/$B$7/1000</f>
        <v>1.93860833333333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22.7288</v>
      </c>
      <c r="I59" s="37" t="n">
        <f aca="false">C20/$B$7/1000</f>
        <v>29.109525</v>
      </c>
      <c r="J59" s="37" t="n">
        <f aca="false">D20/$B$7/1000</f>
        <v>31.0492833333333</v>
      </c>
      <c r="K59" s="37" t="n">
        <f aca="false">E20/$B$7/1000</f>
        <v>25.4898166666667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39.0081937431099</v>
      </c>
      <c r="I60" s="38" t="n">
        <f aca="false">SQRT(22.5*I58*I59)</f>
        <v>41.585995971056</v>
      </c>
      <c r="J60" s="38" t="n">
        <f aca="false">SQRT(22.5*J58*J59)</f>
        <v>39.4127219981458</v>
      </c>
      <c r="K60" s="38" t="n">
        <f aca="false">SQRT(22.5*K58*K59)</f>
        <v>33.344150125856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1.157146</v>
      </c>
      <c r="I61" s="39" t="n">
        <f aca="false">I58-(C20*0.08/1000/$B$7)</f>
        <v>0.311679666666667</v>
      </c>
      <c r="J61" s="39" t="n">
        <f aca="false">J58-(D20*0.08/1000/$B$7)</f>
        <v>-0.260434333333333</v>
      </c>
      <c r="K61" s="39" t="n">
        <f aca="false">K58-(E20*0.08/1000/$B$7)</f>
        <v>-0.100577</v>
      </c>
      <c r="M61" s="6"/>
    </row>
    <row r="62" customFormat="false" ht="15" hidden="false" customHeight="false" outlineLevel="0" collapsed="false">
      <c r="G62" s="40" t="s">
        <v>76</v>
      </c>
      <c r="H62" s="69" t="n">
        <v>1</v>
      </c>
      <c r="I62" s="69" t="n">
        <v>1.5</v>
      </c>
      <c r="J62" s="69" t="n">
        <v>0.65</v>
      </c>
      <c r="K62" s="69" t="n">
        <v>1.31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3.15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0.609351206434316</v>
      </c>
      <c r="I74" s="6" t="n">
        <f aca="false">I59*$B$7/$B$5</f>
        <v>0.780416219839142</v>
      </c>
      <c r="J74" s="6" t="n">
        <f aca="false">J59*$B$7/$B$5</f>
        <v>0.832420464700626</v>
      </c>
      <c r="K74" s="6" t="n">
        <f aca="false">K59*$B$7/$B$5</f>
        <v>0.68337310098302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0.0724477661847861</v>
      </c>
      <c r="I77" s="28" t="n">
        <f aca="false">(I15-I16)/$B$6</f>
        <v>0.0689945052868066</v>
      </c>
      <c r="J77" s="28" t="n">
        <f aca="false">(J15-J16)/$B$6</f>
        <v>0.0574371207304168</v>
      </c>
      <c r="K77" s="28" t="n">
        <f aca="false">(K15-K16)/$B$6</f>
        <v>0.0506710839519282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/>
      <c r="C1" s="1" t="n">
        <v>2270</v>
      </c>
      <c r="H1" s="6"/>
      <c r="O1" s="6"/>
    </row>
    <row r="2" customFormat="false" ht="15" hidden="false" customHeight="false" outlineLevel="0" collapsed="false">
      <c r="A2" s="2"/>
      <c r="C2" s="0" t="str">
        <f aca="false">IFERROR(__xludf.dummyfunction("GoogleFinance(""TADAWUL:""&amp;C1,""eps"")"),"9.05")</f>
        <v>9.05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82"/>
      <c r="C5" s="3" t="str">
        <f aca="false">IFERROR(__xludf.dummyfunction("GoogleFinance(""TADAWUL:""&amp;C1,""marketcap"")/1000"),"4,212,000.20")</f>
        <v>4,212,000.20</v>
      </c>
      <c r="H5" s="6"/>
      <c r="O5" s="6"/>
    </row>
    <row r="6" customFormat="false" ht="15" hidden="false" customHeight="false" outlineLevel="0" collapsed="false">
      <c r="A6" s="2" t="s">
        <v>1</v>
      </c>
      <c r="B6" s="4"/>
      <c r="C6" s="4" t="n">
        <f aca="false">C5*1000+(C22-C20)-S23</f>
        <v>4212185572</v>
      </c>
      <c r="H6" s="6"/>
      <c r="O6" s="6"/>
    </row>
    <row r="7" customFormat="false" ht="15" hidden="false" customHeight="false" outlineLevel="0" collapsed="false">
      <c r="A7" s="2" t="s">
        <v>2</v>
      </c>
      <c r="B7" s="5"/>
      <c r="C7" s="5" t="str">
        <f aca="false">IFERROR(__xludf.dummyfunction("GoogleFinance(""TADAWUL:""&amp;C1,""shares"")/1000000"),"32.5")</f>
        <v>32.5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42825</v>
      </c>
      <c r="C10" s="8" t="n">
        <v>42460</v>
      </c>
      <c r="D10" s="8" t="n">
        <v>42094</v>
      </c>
      <c r="E10" s="8" t="n">
        <v>41729</v>
      </c>
      <c r="F10" s="22" t="n">
        <v>41364</v>
      </c>
      <c r="H10" s="7" t="s">
        <v>4</v>
      </c>
      <c r="I10" s="8" t="n">
        <v>42825</v>
      </c>
      <c r="J10" s="8" t="n">
        <v>42460</v>
      </c>
      <c r="K10" s="8" t="n">
        <v>42094</v>
      </c>
      <c r="L10" s="8" t="n">
        <v>41729</v>
      </c>
      <c r="M10" s="22" t="n">
        <v>41364</v>
      </c>
      <c r="O10" s="7" t="s">
        <v>5</v>
      </c>
      <c r="P10" s="8" t="n">
        <v>42825</v>
      </c>
      <c r="Q10" s="8" t="n">
        <v>42460</v>
      </c>
      <c r="R10" s="8" t="n">
        <v>42094</v>
      </c>
      <c r="S10" s="8" t="n">
        <v>41729</v>
      </c>
      <c r="T10" s="22" t="n">
        <v>41364</v>
      </c>
    </row>
    <row r="11" customFormat="false" ht="15" hidden="false" customHeight="false" outlineLevel="0" collapsed="false">
      <c r="A11" s="10" t="s">
        <v>6</v>
      </c>
      <c r="B11" s="11" t="n">
        <v>722352</v>
      </c>
      <c r="C11" s="11" t="n">
        <v>431938</v>
      </c>
      <c r="D11" s="11" t="n">
        <v>264258</v>
      </c>
      <c r="E11" s="11" t="n">
        <v>331705</v>
      </c>
      <c r="F11" s="56" t="n">
        <v>380564</v>
      </c>
      <c r="H11" s="10" t="s">
        <v>7</v>
      </c>
      <c r="I11" s="11" t="n">
        <v>1857739</v>
      </c>
      <c r="J11" s="11" t="n">
        <v>1982764</v>
      </c>
      <c r="K11" s="11" t="n">
        <v>1806878</v>
      </c>
      <c r="L11" s="11" t="n">
        <v>1552824</v>
      </c>
      <c r="M11" s="56" t="n">
        <v>1549023</v>
      </c>
      <c r="O11" s="10" t="s">
        <v>8</v>
      </c>
      <c r="P11" s="11" t="n">
        <v>301773</v>
      </c>
      <c r="Q11" s="11" t="n">
        <v>260828</v>
      </c>
      <c r="R11" s="11" t="n">
        <v>141469</v>
      </c>
      <c r="S11" s="11" t="n">
        <v>171534</v>
      </c>
      <c r="T11" s="56" t="n">
        <v>164721</v>
      </c>
    </row>
    <row r="12" customFormat="false" ht="15" hidden="false" customHeight="false" outlineLevel="0" collapsed="false">
      <c r="A12" s="10" t="s">
        <v>9</v>
      </c>
      <c r="B12" s="11" t="n">
        <v>321429</v>
      </c>
      <c r="C12" s="11" t="n">
        <v>381120</v>
      </c>
      <c r="D12" s="11" t="n">
        <v>352718</v>
      </c>
      <c r="E12" s="11" t="n">
        <v>308421</v>
      </c>
      <c r="F12" s="56" t="n">
        <v>295395</v>
      </c>
      <c r="H12" s="10" t="s">
        <v>10</v>
      </c>
      <c r="I12" s="11" t="n">
        <v>1047564</v>
      </c>
      <c r="J12" s="11" t="n">
        <v>1222609</v>
      </c>
      <c r="K12" s="11" t="n">
        <v>1212331</v>
      </c>
      <c r="L12" s="11" t="n">
        <v>1030200</v>
      </c>
      <c r="M12" s="56" t="n">
        <v>1051685</v>
      </c>
      <c r="O12" s="10" t="s">
        <v>11</v>
      </c>
      <c r="P12" s="11" t="n">
        <v>75847</v>
      </c>
      <c r="Q12" s="11" t="n">
        <v>82173</v>
      </c>
      <c r="R12" s="11" t="n">
        <v>71350</v>
      </c>
      <c r="S12" s="11" t="n">
        <v>56959</v>
      </c>
      <c r="T12" s="56" t="n">
        <v>45894</v>
      </c>
    </row>
    <row r="13" customFormat="false" ht="15" hidden="false" customHeight="false" outlineLevel="0" collapsed="false">
      <c r="A13" s="10" t="s">
        <v>12</v>
      </c>
      <c r="B13" s="11" t="n">
        <v>243</v>
      </c>
      <c r="C13" s="11" t="n">
        <v>243</v>
      </c>
      <c r="D13" s="11" t="n">
        <v>243</v>
      </c>
      <c r="E13" s="11" t="n">
        <v>243</v>
      </c>
      <c r="F13" s="56" t="n">
        <v>243</v>
      </c>
      <c r="H13" s="10" t="s">
        <v>13</v>
      </c>
      <c r="I13" s="11" t="n">
        <v>810175</v>
      </c>
      <c r="J13" s="11" t="n">
        <v>760155</v>
      </c>
      <c r="K13" s="11" t="n">
        <v>594547</v>
      </c>
      <c r="L13" s="11" t="n">
        <v>522624</v>
      </c>
      <c r="M13" s="56" t="n">
        <v>497338</v>
      </c>
      <c r="O13" s="10" t="s">
        <v>14</v>
      </c>
      <c r="P13" s="11" t="n">
        <v>6283</v>
      </c>
      <c r="Q13" s="13" t="n">
        <v>-5314</v>
      </c>
      <c r="R13" s="13" t="n">
        <v>-581</v>
      </c>
      <c r="S13" s="11" t="n">
        <v>48171</v>
      </c>
      <c r="T13" s="56" t="n">
        <v>70784</v>
      </c>
    </row>
    <row r="14" customFormat="false" ht="15" hidden="false" customHeight="false" outlineLevel="0" collapsed="false">
      <c r="A14" s="10" t="s">
        <v>15</v>
      </c>
      <c r="B14" s="11" t="n">
        <v>598004</v>
      </c>
      <c r="C14" s="11" t="n">
        <v>577203</v>
      </c>
      <c r="D14" s="11" t="n">
        <v>591854</v>
      </c>
      <c r="E14" s="11" t="n">
        <v>497678</v>
      </c>
      <c r="F14" s="56" t="n">
        <v>422414</v>
      </c>
      <c r="H14" s="10" t="s">
        <v>16</v>
      </c>
      <c r="I14" s="11" t="n">
        <v>4996</v>
      </c>
      <c r="J14" s="11" t="n">
        <v>423</v>
      </c>
      <c r="K14" s="13" t="n">
        <v>-287</v>
      </c>
      <c r="L14" s="11" t="n">
        <v>648</v>
      </c>
      <c r="M14" s="56" t="n">
        <v>818</v>
      </c>
      <c r="O14" s="10" t="s">
        <v>9</v>
      </c>
      <c r="P14" s="11" t="n">
        <v>54281</v>
      </c>
      <c r="Q14" s="13" t="n">
        <v>-32552</v>
      </c>
      <c r="R14" s="13" t="n">
        <v>-44297</v>
      </c>
      <c r="S14" s="13" t="n">
        <v>-13026</v>
      </c>
      <c r="T14" s="58" t="n">
        <v>-42290</v>
      </c>
    </row>
    <row r="15" customFormat="false" ht="15" hidden="false" customHeight="false" outlineLevel="0" collapsed="false">
      <c r="A15" s="10" t="s">
        <v>17</v>
      </c>
      <c r="B15" s="18"/>
      <c r="C15" s="18"/>
      <c r="D15" s="18"/>
      <c r="E15" s="18"/>
      <c r="F15" s="56" t="n">
        <v>4068</v>
      </c>
      <c r="H15" s="10" t="s">
        <v>18</v>
      </c>
      <c r="I15" s="11" t="n">
        <v>815171</v>
      </c>
      <c r="J15" s="11" t="n">
        <v>760578</v>
      </c>
      <c r="K15" s="11" t="n">
        <v>594260</v>
      </c>
      <c r="L15" s="11" t="n">
        <v>523272</v>
      </c>
      <c r="M15" s="56" t="n">
        <v>498156</v>
      </c>
      <c r="O15" s="10" t="s">
        <v>19</v>
      </c>
      <c r="P15" s="13" t="n">
        <v>-2178</v>
      </c>
      <c r="Q15" s="11" t="n">
        <v>11263</v>
      </c>
      <c r="R15" s="11" t="n">
        <v>18381</v>
      </c>
      <c r="S15" s="13" t="n">
        <v>-11319</v>
      </c>
      <c r="T15" s="58" t="n">
        <v>-14518</v>
      </c>
    </row>
    <row r="16" customFormat="false" ht="15" hidden="false" customHeight="false" outlineLevel="0" collapsed="false">
      <c r="A16" s="10" t="s">
        <v>20</v>
      </c>
      <c r="B16" s="11" t="n">
        <v>1642028</v>
      </c>
      <c r="C16" s="11" t="n">
        <v>1390504</v>
      </c>
      <c r="D16" s="11" t="n">
        <v>1209073</v>
      </c>
      <c r="E16" s="11" t="n">
        <v>1138047</v>
      </c>
      <c r="F16" s="56" t="n">
        <v>1102684</v>
      </c>
      <c r="H16" s="10" t="s">
        <v>21</v>
      </c>
      <c r="I16" s="11" t="n">
        <v>423529</v>
      </c>
      <c r="J16" s="11" t="n">
        <v>402324</v>
      </c>
      <c r="K16" s="11" t="n">
        <v>367604</v>
      </c>
      <c r="L16" s="11" t="n">
        <v>281715</v>
      </c>
      <c r="M16" s="56" t="n">
        <v>275864</v>
      </c>
      <c r="O16" s="10" t="s">
        <v>22</v>
      </c>
      <c r="P16" s="11" t="n">
        <v>65246</v>
      </c>
      <c r="Q16" s="11" t="n">
        <v>14171</v>
      </c>
      <c r="R16" s="11" t="n">
        <v>43509</v>
      </c>
      <c r="S16" s="13" t="n">
        <v>-38404</v>
      </c>
      <c r="T16" s="58" t="n">
        <v>-53867</v>
      </c>
    </row>
    <row r="17" customFormat="false" ht="15" hidden="false" customHeight="false" outlineLevel="0" collapsed="false">
      <c r="A17" s="10" t="s">
        <v>23</v>
      </c>
      <c r="B17" s="11" t="n">
        <v>268724</v>
      </c>
      <c r="C17" s="11" t="n">
        <v>196498</v>
      </c>
      <c r="D17" s="11" t="n">
        <v>176073</v>
      </c>
      <c r="E17" s="11" t="n">
        <v>134802</v>
      </c>
      <c r="F17" s="56" t="n">
        <v>173599</v>
      </c>
      <c r="H17" s="10" t="s">
        <v>11</v>
      </c>
      <c r="I17" s="11" t="n">
        <v>75847</v>
      </c>
      <c r="J17" s="11" t="n">
        <v>82173</v>
      </c>
      <c r="K17" s="11" t="n">
        <v>71350</v>
      </c>
      <c r="L17" s="11" t="n">
        <v>56959</v>
      </c>
      <c r="M17" s="56" t="n">
        <v>45894</v>
      </c>
      <c r="O17" s="10" t="s">
        <v>24</v>
      </c>
      <c r="P17" s="11" t="n">
        <v>25236</v>
      </c>
      <c r="Q17" s="11" t="n">
        <v>32270</v>
      </c>
      <c r="R17" s="13" t="n">
        <v>-1035</v>
      </c>
      <c r="S17" s="13" t="n">
        <v>-1207</v>
      </c>
      <c r="T17" s="58" t="n">
        <v>-1516</v>
      </c>
    </row>
    <row r="18" customFormat="false" ht="15" hidden="false" customHeight="false" outlineLevel="0" collapsed="false">
      <c r="A18" s="10" t="s">
        <v>25</v>
      </c>
      <c r="B18" s="11" t="n">
        <v>111072</v>
      </c>
      <c r="C18" s="11" t="n">
        <v>100422</v>
      </c>
      <c r="D18" s="11" t="n">
        <v>83768</v>
      </c>
      <c r="E18" s="11" t="n">
        <v>80555</v>
      </c>
      <c r="F18" s="56" t="n">
        <v>78337</v>
      </c>
      <c r="H18" s="10" t="s">
        <v>26</v>
      </c>
      <c r="I18" s="13" t="n">
        <v>-6668</v>
      </c>
      <c r="J18" s="13" t="n">
        <v>-80</v>
      </c>
      <c r="K18" s="11" t="n">
        <v>1571</v>
      </c>
      <c r="L18" s="13" t="n">
        <v>-1289</v>
      </c>
      <c r="M18" s="58" t="n">
        <v>-2043</v>
      </c>
      <c r="O18" s="10" t="s">
        <v>27</v>
      </c>
      <c r="P18" s="13" t="n">
        <v>-97141</v>
      </c>
      <c r="Q18" s="13" t="n">
        <v>-67836</v>
      </c>
      <c r="R18" s="13" t="n">
        <v>-166036</v>
      </c>
      <c r="S18" s="13" t="n">
        <v>-134650</v>
      </c>
      <c r="T18" s="58" t="n">
        <v>-146518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6" t="n">
        <v>296</v>
      </c>
      <c r="H19" s="10" t="s">
        <v>29</v>
      </c>
      <c r="I19" s="11" t="n">
        <v>492708</v>
      </c>
      <c r="J19" s="11" t="n">
        <v>484417</v>
      </c>
      <c r="K19" s="11" t="n">
        <v>440525</v>
      </c>
      <c r="L19" s="11" t="n">
        <v>337385</v>
      </c>
      <c r="M19" s="56" t="n">
        <v>319715</v>
      </c>
      <c r="O19" s="10" t="s">
        <v>30</v>
      </c>
      <c r="P19" s="11" t="n">
        <v>1408</v>
      </c>
      <c r="Q19" s="11" t="n">
        <v>1332</v>
      </c>
      <c r="R19" s="11" t="n">
        <v>3829</v>
      </c>
      <c r="S19" s="11" t="n">
        <v>78968</v>
      </c>
      <c r="T19" s="56" t="n">
        <v>75836</v>
      </c>
    </row>
    <row r="20" customFormat="false" ht="15" hidden="false" customHeight="false" outlineLevel="0" collapsed="false">
      <c r="A20" s="10" t="s">
        <v>31</v>
      </c>
      <c r="B20" s="11" t="n">
        <v>1260663</v>
      </c>
      <c r="C20" s="11" t="n">
        <v>1092219</v>
      </c>
      <c r="D20" s="11" t="n">
        <v>948007</v>
      </c>
      <c r="E20" s="11" t="n">
        <v>921531</v>
      </c>
      <c r="F20" s="56" t="n">
        <v>850452</v>
      </c>
      <c r="H20" s="10" t="s">
        <v>32</v>
      </c>
      <c r="I20" s="11" t="n">
        <v>322463</v>
      </c>
      <c r="J20" s="11" t="n">
        <v>276161</v>
      </c>
      <c r="K20" s="11" t="n">
        <v>153735</v>
      </c>
      <c r="L20" s="11" t="n">
        <v>185887</v>
      </c>
      <c r="M20" s="56" t="n">
        <v>178441</v>
      </c>
      <c r="O20" s="10" t="s">
        <v>33</v>
      </c>
      <c r="P20" s="18"/>
      <c r="Q20" s="18"/>
      <c r="R20" s="18"/>
      <c r="S20" s="18"/>
      <c r="T20" s="57"/>
    </row>
    <row r="21" customFormat="false" ht="15" hidden="false" customHeight="false" outlineLevel="0" collapsed="false">
      <c r="A21" s="10" t="s">
        <v>34</v>
      </c>
      <c r="B21" s="11" t="n">
        <v>1569</v>
      </c>
      <c r="C21" s="18"/>
      <c r="D21" s="18"/>
      <c r="E21" s="18"/>
      <c r="F21" s="59"/>
      <c r="H21" s="10" t="s">
        <v>35</v>
      </c>
      <c r="I21" s="11" t="n">
        <v>20690</v>
      </c>
      <c r="J21" s="11" t="n">
        <v>15333</v>
      </c>
      <c r="K21" s="11" t="n">
        <v>12266</v>
      </c>
      <c r="L21" s="11" t="n">
        <v>14353</v>
      </c>
      <c r="M21" s="56" t="n">
        <v>13720</v>
      </c>
      <c r="O21" s="10" t="s">
        <v>36</v>
      </c>
      <c r="P21" s="13" t="n">
        <v>-133358</v>
      </c>
      <c r="Q21" s="13" t="n">
        <v>-115625</v>
      </c>
      <c r="R21" s="13" t="n">
        <v>-113750</v>
      </c>
      <c r="S21" s="13" t="n">
        <v>-97500</v>
      </c>
      <c r="T21" s="58" t="n">
        <v>-97500</v>
      </c>
    </row>
    <row r="22" customFormat="false" ht="15" hidden="false" customHeight="false" outlineLevel="0" collapsed="false">
      <c r="A22" s="10" t="s">
        <v>37</v>
      </c>
      <c r="B22" s="11" t="n">
        <v>1642028</v>
      </c>
      <c r="C22" s="11" t="n">
        <v>1390504</v>
      </c>
      <c r="D22" s="11" t="n">
        <v>1209073</v>
      </c>
      <c r="E22" s="11" t="n">
        <v>1138047</v>
      </c>
      <c r="F22" s="56" t="n">
        <v>1102684</v>
      </c>
      <c r="H22" s="10" t="s">
        <v>8</v>
      </c>
      <c r="I22" s="11" t="n">
        <v>301773</v>
      </c>
      <c r="J22" s="11" t="n">
        <v>260828</v>
      </c>
      <c r="K22" s="11" t="n">
        <v>141469</v>
      </c>
      <c r="L22" s="11" t="n">
        <v>171534</v>
      </c>
      <c r="M22" s="56" t="n">
        <v>164721</v>
      </c>
      <c r="O22" s="10" t="s">
        <v>38</v>
      </c>
      <c r="P22" s="11" t="n">
        <v>246517</v>
      </c>
      <c r="Q22" s="11" t="n">
        <v>65574</v>
      </c>
      <c r="R22" s="11" t="n">
        <v>113586</v>
      </c>
      <c r="S22" s="11" t="n">
        <v>53387</v>
      </c>
      <c r="T22" s="56" t="n">
        <v>52053</v>
      </c>
    </row>
    <row r="23" customFormat="false" ht="15" hidden="false" customHeight="false" outlineLevel="0" collapsed="false">
      <c r="B23" s="4" t="n">
        <f aca="false">B11+B12</f>
        <v>1043781</v>
      </c>
      <c r="C23" s="4" t="n">
        <f aca="false">C11+C12</f>
        <v>813058</v>
      </c>
      <c r="D23" s="4" t="n">
        <f aca="false">D11+D12</f>
        <v>616976</v>
      </c>
      <c r="E23" s="4" t="n">
        <f aca="false">E11+E12</f>
        <v>640126</v>
      </c>
      <c r="F23" s="4" t="n">
        <f aca="false">F11+F12</f>
        <v>675959</v>
      </c>
      <c r="H23" s="10" t="s">
        <v>39</v>
      </c>
      <c r="I23" s="11" t="n">
        <v>454163</v>
      </c>
      <c r="J23" s="11" t="n">
        <v>335121</v>
      </c>
      <c r="K23" s="11" t="n">
        <v>323414</v>
      </c>
      <c r="L23" s="11" t="n">
        <v>268312</v>
      </c>
      <c r="M23" s="56" t="n">
        <v>219379</v>
      </c>
      <c r="O23" s="10" t="s">
        <v>40</v>
      </c>
      <c r="P23" s="11" t="n">
        <v>543914</v>
      </c>
      <c r="Q23" s="11" t="n">
        <v>246284</v>
      </c>
      <c r="R23" s="11" t="n">
        <v>66425</v>
      </c>
      <c r="S23" s="11" t="n">
        <v>112913</v>
      </c>
      <c r="T23" s="56" t="n">
        <v>53079</v>
      </c>
    </row>
    <row r="24" customFormat="false" ht="15" hidden="false" customHeight="false" outlineLevel="0" collapsed="false">
      <c r="H24" s="10" t="s">
        <v>41</v>
      </c>
      <c r="I24" s="11" t="n">
        <v>30101</v>
      </c>
      <c r="J24" s="11" t="n">
        <v>26021</v>
      </c>
      <c r="K24" s="11" t="n">
        <v>14096</v>
      </c>
      <c r="L24" s="11" t="n">
        <v>17111</v>
      </c>
      <c r="M24" s="56" t="n">
        <v>16426</v>
      </c>
      <c r="O24" s="2" t="s">
        <v>42</v>
      </c>
      <c r="P24" s="12" t="n">
        <f aca="false">SUM(P11:P17)</f>
        <v>526488</v>
      </c>
      <c r="Q24" s="12" t="n">
        <f aca="false">SUM(Q11:Q17)</f>
        <v>362839</v>
      </c>
      <c r="R24" s="12" t="n">
        <f aca="false">SUM(R11:R17)</f>
        <v>228796</v>
      </c>
      <c r="S24" s="12" t="n">
        <f aca="false">SUM(S11:S17)</f>
        <v>212708</v>
      </c>
      <c r="T24" s="12" t="n">
        <f aca="false">SUM(T11:T17)</f>
        <v>169208</v>
      </c>
    </row>
    <row r="25" customFormat="false" ht="15" hidden="false" customHeight="false" outlineLevel="0" collapsed="false">
      <c r="H25" s="10" t="s">
        <v>43</v>
      </c>
      <c r="I25" s="11" t="n">
        <v>130000</v>
      </c>
      <c r="J25" s="11" t="n">
        <v>113750</v>
      </c>
      <c r="K25" s="11" t="n">
        <v>113750</v>
      </c>
      <c r="L25" s="11" t="n">
        <v>97500</v>
      </c>
      <c r="M25" s="56" t="n">
        <v>97500</v>
      </c>
      <c r="O25" s="2" t="s">
        <v>44</v>
      </c>
      <c r="P25" s="12" t="n">
        <f aca="false">P18+P19</f>
        <v>-95733</v>
      </c>
      <c r="Q25" s="12" t="n">
        <f aca="false">Q18+Q19</f>
        <v>-66504</v>
      </c>
      <c r="R25" s="12" t="n">
        <f aca="false">R18+R19</f>
        <v>-162207</v>
      </c>
      <c r="S25" s="12" t="n">
        <f aca="false">S18+S19</f>
        <v>-55682</v>
      </c>
      <c r="T25" s="12" t="n">
        <f aca="false">T18+T19</f>
        <v>-70682</v>
      </c>
    </row>
    <row r="26" customFormat="false" ht="15" hidden="false" customHeight="false" outlineLevel="0" collapsed="false">
      <c r="H26" s="10" t="s">
        <v>45</v>
      </c>
      <c r="I26" s="11" t="n">
        <v>3562</v>
      </c>
      <c r="J26" s="11" t="n">
        <v>2015</v>
      </c>
      <c r="K26" s="11" t="n">
        <v>1916</v>
      </c>
      <c r="L26" s="11" t="n">
        <v>1821</v>
      </c>
      <c r="M26" s="56" t="n">
        <v>1862</v>
      </c>
      <c r="O26" s="2" t="s">
        <v>46</v>
      </c>
      <c r="P26" s="12" t="n">
        <f aca="false">P20+P21</f>
        <v>-133358</v>
      </c>
      <c r="Q26" s="12" t="n">
        <f aca="false">Q20+Q21</f>
        <v>-115625</v>
      </c>
      <c r="R26" s="12" t="n">
        <f aca="false">R20+R21</f>
        <v>-113750</v>
      </c>
      <c r="S26" s="12" t="n">
        <f aca="false">S20+S21</f>
        <v>-97500</v>
      </c>
      <c r="T26" s="12" t="n">
        <f aca="false">T20+T21</f>
        <v>-97500</v>
      </c>
    </row>
    <row r="27" customFormat="false" ht="15" hidden="false" customHeight="false" outlineLevel="0" collapsed="false">
      <c r="H27" s="10" t="s">
        <v>47</v>
      </c>
      <c r="I27" s="11" t="n">
        <v>592273</v>
      </c>
      <c r="J27" s="11" t="n">
        <v>454163</v>
      </c>
      <c r="K27" s="11" t="n">
        <v>335121</v>
      </c>
      <c r="L27" s="11" t="n">
        <v>323414</v>
      </c>
      <c r="M27" s="56" t="n">
        <v>268312</v>
      </c>
      <c r="O27" s="2" t="s">
        <v>48</v>
      </c>
      <c r="P27" s="12" t="n">
        <f aca="false">P24+P25+P26</f>
        <v>297397</v>
      </c>
      <c r="Q27" s="12" t="n">
        <f aca="false">Q24+Q25+Q26</f>
        <v>180710</v>
      </c>
      <c r="R27" s="12" t="n">
        <f aca="false">R24+R25+R26</f>
        <v>-47161</v>
      </c>
      <c r="S27" s="12" t="n">
        <f aca="false">S24+S25+S26</f>
        <v>59526</v>
      </c>
      <c r="T27" s="12" t="n">
        <f aca="false">T24+T25+T26</f>
        <v>1026</v>
      </c>
    </row>
    <row r="28" customFormat="false" ht="15" hidden="false" customHeight="false" outlineLevel="0" collapsed="false">
      <c r="H28" s="6"/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0.439914544697167</v>
      </c>
      <c r="C30" s="24" t="n">
        <f aca="false">C11/C$16</f>
        <v>0.310634129783158</v>
      </c>
      <c r="D30" s="24" t="n">
        <f aca="false">D11/D$16</f>
        <v>0.218562485474409</v>
      </c>
      <c r="E30" s="24" t="n">
        <f aca="false">E11/E$16</f>
        <v>0.291468630030218</v>
      </c>
      <c r="F30" s="24" t="n">
        <f aca="false">F11/F$16</f>
        <v>0.345125167319014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0.162441010281853</v>
      </c>
      <c r="Q30" s="26" t="n">
        <f aca="false">Q11/J$11</f>
        <v>0.131547677888039</v>
      </c>
      <c r="R30" s="26" t="n">
        <f aca="false">R11/K$11</f>
        <v>0.0782947160793368</v>
      </c>
      <c r="S30" s="26" t="n">
        <f aca="false">S11/L$11</f>
        <v>0.110465835149379</v>
      </c>
      <c r="T30" s="26" t="n">
        <f aca="false">T11/M$11</f>
        <v>0.106338640549559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0.195751229577084</v>
      </c>
      <c r="C31" s="24" t="n">
        <f aca="false">C12/C$16</f>
        <v>0.274087668931553</v>
      </c>
      <c r="D31" s="24" t="n">
        <f aca="false">D12/D$16</f>
        <v>0.291725975189257</v>
      </c>
      <c r="E31" s="24" t="n">
        <f aca="false">E12/E$16</f>
        <v>0.271009018080976</v>
      </c>
      <c r="F31" s="24" t="n">
        <f aca="false">F12/F$16</f>
        <v>0.267887264166343</v>
      </c>
      <c r="G31" s="6"/>
      <c r="H31" s="25" t="s">
        <v>10</v>
      </c>
      <c r="I31" s="24" t="n">
        <f aca="false">I12/I$11</f>
        <v>0.563891913772602</v>
      </c>
      <c r="J31" s="24" t="n">
        <f aca="false">J12/J$11</f>
        <v>0.616618518391498</v>
      </c>
      <c r="K31" s="24" t="n">
        <f aca="false">K12/K$11</f>
        <v>0.670953434598241</v>
      </c>
      <c r="L31" s="24" t="n">
        <f aca="false">L12/L$11</f>
        <v>0.663436422930094</v>
      </c>
      <c r="M31" s="24" t="n">
        <f aca="false">M12/M$11</f>
        <v>0.678934399295556</v>
      </c>
      <c r="N31" s="6"/>
      <c r="O31" s="25" t="s">
        <v>11</v>
      </c>
      <c r="P31" s="26" t="n">
        <f aca="false">P12/I$11</f>
        <v>0.0408275866523769</v>
      </c>
      <c r="Q31" s="26" t="n">
        <f aca="false">Q12/J$11</f>
        <v>0.041443661474588</v>
      </c>
      <c r="R31" s="26" t="n">
        <f aca="false">R12/K$11</f>
        <v>0.0394880008500851</v>
      </c>
      <c r="S31" s="26" t="n">
        <f aca="false">S12/L$11</f>
        <v>0.0366809116809117</v>
      </c>
      <c r="T31" s="26" t="n">
        <f aca="false">T12/M$11</f>
        <v>0.0296277072709701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0.000147987732243299</v>
      </c>
      <c r="C32" s="24" t="n">
        <f aca="false">C13/C$16</f>
        <v>0.000174756778837026</v>
      </c>
      <c r="D32" s="24" t="n">
        <f aca="false">D13/D$16</f>
        <v>0.000200980420537056</v>
      </c>
      <c r="E32" s="24" t="n">
        <f aca="false">E13/E$16</f>
        <v>0.000213523694539856</v>
      </c>
      <c r="F32" s="24" t="n">
        <f aca="false">F13/F$16</f>
        <v>0.000220371384730349</v>
      </c>
      <c r="G32" s="6"/>
      <c r="H32" s="25" t="s">
        <v>13</v>
      </c>
      <c r="I32" s="24" t="n">
        <f aca="false">I13/I$11</f>
        <v>0.436108086227398</v>
      </c>
      <c r="J32" s="24" t="n">
        <f aca="false">J13/J$11</f>
        <v>0.383381481608502</v>
      </c>
      <c r="K32" s="24" t="n">
        <f aca="false">K13/K$11</f>
        <v>0.329046565401759</v>
      </c>
      <c r="L32" s="24" t="n">
        <f aca="false">L13/L$11</f>
        <v>0.336563577069906</v>
      </c>
      <c r="M32" s="24" t="n">
        <f aca="false">M13/M$11</f>
        <v>0.321065600704444</v>
      </c>
      <c r="N32" s="6"/>
      <c r="O32" s="25" t="s">
        <v>14</v>
      </c>
      <c r="P32" s="26" t="n">
        <f aca="false">P13/I$11</f>
        <v>0.00338206820226092</v>
      </c>
      <c r="Q32" s="26" t="n">
        <f aca="false">Q13/J$11</f>
        <v>-0.00268009707660619</v>
      </c>
      <c r="R32" s="26" t="n">
        <f aca="false">R13/K$11</f>
        <v>-0.000321549102927812</v>
      </c>
      <c r="S32" s="26" t="n">
        <f aca="false">S13/L$11</f>
        <v>0.0310215452620516</v>
      </c>
      <c r="T32" s="26" t="n">
        <f aca="false">T13/M$11</f>
        <v>0.0456958999317634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0.364186237993506</v>
      </c>
      <c r="C33" s="24" t="n">
        <f aca="false">C14/C$16</f>
        <v>0.415103444506452</v>
      </c>
      <c r="D33" s="24" t="n">
        <f aca="false">D14/D$16</f>
        <v>0.489510558915798</v>
      </c>
      <c r="E33" s="24" t="n">
        <f aca="false">E14/E$16</f>
        <v>0.437308828194266</v>
      </c>
      <c r="F33" s="24" t="n">
        <f aca="false">F14/F$16</f>
        <v>0.383078016911463</v>
      </c>
      <c r="G33" s="6"/>
      <c r="H33" s="25" t="s">
        <v>16</v>
      </c>
      <c r="I33" s="24" t="n">
        <f aca="false">I14/I$11</f>
        <v>0.00268929058387642</v>
      </c>
      <c r="J33" s="24" t="n">
        <f aca="false">J14/J$11</f>
        <v>0.000213338551638016</v>
      </c>
      <c r="K33" s="24" t="n">
        <f aca="false">K14/K$11</f>
        <v>-0.000158837508675185</v>
      </c>
      <c r="L33" s="24" t="n">
        <f aca="false">L14/L$11</f>
        <v>0.000417304214772569</v>
      </c>
      <c r="M33" s="24" t="n">
        <f aca="false">M14/M$11</f>
        <v>0.000528074792950137</v>
      </c>
      <c r="N33" s="6"/>
      <c r="O33" s="25" t="s">
        <v>9</v>
      </c>
      <c r="P33" s="26" t="n">
        <f aca="false">P14/I$11</f>
        <v>0.0292188515178935</v>
      </c>
      <c r="Q33" s="26" t="n">
        <f aca="false">Q14/J$11</f>
        <v>-0.0164174858934296</v>
      </c>
      <c r="R33" s="26" t="n">
        <f aca="false">R14/K$11</f>
        <v>-0.0245157669748594</v>
      </c>
      <c r="S33" s="26" t="n">
        <f aca="false">S14/L$11</f>
        <v>-0.00838858750251155</v>
      </c>
      <c r="T33" s="26" t="n">
        <f aca="false">T14/M$11</f>
        <v>-0.0273010794545982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24" t="n">
        <f aca="false">F15/F$16</f>
        <v>0.0036891802184488</v>
      </c>
      <c r="G34" s="6"/>
      <c r="H34" s="25" t="s">
        <v>18</v>
      </c>
      <c r="I34" s="24" t="n">
        <f aca="false">I15/I$11</f>
        <v>0.438797376811274</v>
      </c>
      <c r="J34" s="24" t="n">
        <f aca="false">J15/J$11</f>
        <v>0.38359482016014</v>
      </c>
      <c r="K34" s="24" t="n">
        <f aca="false">K15/K$11</f>
        <v>0.328887727893084</v>
      </c>
      <c r="L34" s="24" t="n">
        <f aca="false">L15/L$11</f>
        <v>0.336980881284679</v>
      </c>
      <c r="M34" s="24" t="n">
        <f aca="false">M15/M$11</f>
        <v>0.321593675497394</v>
      </c>
      <c r="N34" s="6"/>
      <c r="O34" s="25" t="s">
        <v>19</v>
      </c>
      <c r="P34" s="26" t="n">
        <f aca="false">P15/I$11</f>
        <v>-0.00117239289265069</v>
      </c>
      <c r="Q34" s="26" t="n">
        <f aca="false">Q15/J$11</f>
        <v>0.0056804541538983</v>
      </c>
      <c r="R34" s="26" t="n">
        <f aca="false">R15/K$11</f>
        <v>0.0101727952855699</v>
      </c>
      <c r="S34" s="26" t="n">
        <f aca="false">S15/L$11</f>
        <v>-0.007289300010819</v>
      </c>
      <c r="T34" s="26" t="n">
        <f aca="false">T15/M$11</f>
        <v>-0.00937235922255512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0.227980895055764</v>
      </c>
      <c r="J35" s="24" t="n">
        <f aca="false">J16/J$11</f>
        <v>0.2029106842771</v>
      </c>
      <c r="K35" s="24" t="n">
        <f aca="false">K16/K$11</f>
        <v>0.20344705065865</v>
      </c>
      <c r="L35" s="24" t="n">
        <f aca="false">L16/L$11</f>
        <v>0.181421075408417</v>
      </c>
      <c r="M35" s="24" t="n">
        <f aca="false">M16/M$11</f>
        <v>0.178089027729091</v>
      </c>
      <c r="N35" s="6"/>
      <c r="O35" s="25" t="s">
        <v>22</v>
      </c>
      <c r="P35" s="26" t="n">
        <f aca="false">P16/I$11</f>
        <v>0.03512118763723</v>
      </c>
      <c r="Q35" s="26" t="n">
        <f aca="false">Q16/J$11</f>
        <v>0.00714709365310244</v>
      </c>
      <c r="R35" s="26" t="n">
        <f aca="false">R16/K$11</f>
        <v>0.0240796556269986</v>
      </c>
      <c r="S35" s="26" t="n">
        <f aca="false">S16/L$11</f>
        <v>-0.0247317146051323</v>
      </c>
      <c r="T35" s="26" t="n">
        <f aca="false">T16/M$11</f>
        <v>-0.0347748225817176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0.163653725758635</v>
      </c>
      <c r="C36" s="24" t="n">
        <f aca="false">C17/C$16</f>
        <v>0.14131422850995</v>
      </c>
      <c r="D36" s="24" t="n">
        <f aca="false">D17/D$16</f>
        <v>0.145626442737535</v>
      </c>
      <c r="E36" s="24" t="n">
        <f aca="false">E17/E$16</f>
        <v>0.11845029247474</v>
      </c>
      <c r="F36" s="24" t="n">
        <f aca="false">F17/F$16</f>
        <v>0.157433135875736</v>
      </c>
      <c r="G36" s="6"/>
      <c r="H36" s="25" t="s">
        <v>11</v>
      </c>
      <c r="I36" s="24" t="n">
        <f aca="false">I17/I$11</f>
        <v>0.0408275866523769</v>
      </c>
      <c r="J36" s="24" t="n">
        <f aca="false">J17/J$11</f>
        <v>0.041443661474588</v>
      </c>
      <c r="K36" s="24" t="n">
        <f aca="false">K17/K$11</f>
        <v>0.0394880008500851</v>
      </c>
      <c r="L36" s="24" t="n">
        <f aca="false">L17/L$11</f>
        <v>0.0366809116809117</v>
      </c>
      <c r="M36" s="24" t="n">
        <f aca="false">M17/M$11</f>
        <v>0.0296277072709701</v>
      </c>
      <c r="N36" s="6"/>
      <c r="O36" s="25" t="s">
        <v>24</v>
      </c>
      <c r="P36" s="26" t="n">
        <f aca="false">P17/I$11</f>
        <v>0.0135842548388121</v>
      </c>
      <c r="Q36" s="26" t="n">
        <f aca="false">Q17/J$11</f>
        <v>0.0162752601923376</v>
      </c>
      <c r="R36" s="26" t="n">
        <f aca="false">R17/K$11</f>
        <v>-0.000572811224664864</v>
      </c>
      <c r="S36" s="26" t="n">
        <f aca="false">S17/L$11</f>
        <v>-0.000777293498812486</v>
      </c>
      <c r="T36" s="26" t="n">
        <f aca="false">T17/M$11</f>
        <v>-0.000978681401115413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0.067643182698468</v>
      </c>
      <c r="C37" s="24" t="n">
        <f aca="false">C18/C$16</f>
        <v>0.0722198569727236</v>
      </c>
      <c r="D37" s="24" t="n">
        <f aca="false">D18/D$16</f>
        <v>0.0692828307306507</v>
      </c>
      <c r="E37" s="24" t="n">
        <f aca="false">E18/E$16</f>
        <v>0.0707835440891281</v>
      </c>
      <c r="F37" s="24" t="n">
        <f aca="false">F18/F$16</f>
        <v>0.0710421117926804</v>
      </c>
      <c r="G37" s="6"/>
      <c r="H37" s="25" t="s">
        <v>26</v>
      </c>
      <c r="I37" s="24" t="n">
        <f aca="false">I18/I$11</f>
        <v>-0.00358930937015372</v>
      </c>
      <c r="J37" s="24" t="n">
        <f aca="false">J18/J$11</f>
        <v>-4.03477166218471E-005</v>
      </c>
      <c r="K37" s="24" t="n">
        <f aca="false">K18/K$11</f>
        <v>0.000869455491737682</v>
      </c>
      <c r="L37" s="24" t="n">
        <f aca="false">L18/L$11</f>
        <v>-0.000830100513644817</v>
      </c>
      <c r="M37" s="24" t="n">
        <f aca="false">M18/M$11</f>
        <v>-0.00131889584596226</v>
      </c>
      <c r="N37" s="6"/>
      <c r="O37" s="25" t="s">
        <v>27</v>
      </c>
      <c r="P37" s="26" t="n">
        <f aca="false">P18/I$11</f>
        <v>-0.0522899072474659</v>
      </c>
      <c r="Q37" s="26" t="n">
        <f aca="false">Q18/J$11</f>
        <v>-0.0342128463094952</v>
      </c>
      <c r="R37" s="26" t="n">
        <f aca="false">R18/K$11</f>
        <v>-0.0918910961337733</v>
      </c>
      <c r="S37" s="26" t="n">
        <f aca="false">S18/L$11</f>
        <v>-0.0867129822826025</v>
      </c>
      <c r="T37" s="26" t="n">
        <f aca="false">T18/M$11</f>
        <v>-0.0945873624859024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0.000268435925432853</v>
      </c>
      <c r="G38" s="6"/>
      <c r="H38" s="25" t="s">
        <v>29</v>
      </c>
      <c r="I38" s="24" t="n">
        <f aca="false">I19/I$11</f>
        <v>0.265219172337987</v>
      </c>
      <c r="J38" s="24" t="n">
        <f aca="false">J19/J$11</f>
        <v>0.244313998035066</v>
      </c>
      <c r="K38" s="24" t="n">
        <f aca="false">K19/K$11</f>
        <v>0.243804507000473</v>
      </c>
      <c r="L38" s="24" t="n">
        <f aca="false">L19/L$11</f>
        <v>0.217271886575684</v>
      </c>
      <c r="M38" s="24" t="n">
        <f aca="false">M19/M$11</f>
        <v>0.206397839154099</v>
      </c>
      <c r="N38" s="6"/>
      <c r="O38" s="25" t="s">
        <v>30</v>
      </c>
      <c r="P38" s="26" t="n">
        <f aca="false">P19/I$11</f>
        <v>0.000757910556865092</v>
      </c>
      <c r="Q38" s="26" t="n">
        <f aca="false">Q19/J$11</f>
        <v>0.000671789481753754</v>
      </c>
      <c r="R38" s="26" t="n">
        <f aca="false">R19/K$11</f>
        <v>0.00211912481086161</v>
      </c>
      <c r="S38" s="26" t="n">
        <f aca="false">S19/L$11</f>
        <v>0.0508544432595066</v>
      </c>
      <c r="T38" s="26" t="n">
        <f aca="false">T19/M$11</f>
        <v>0.0489573105112061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0.767747565814956</v>
      </c>
      <c r="C39" s="24" t="n">
        <f aca="false">C20/C$16</f>
        <v>0.785484256068303</v>
      </c>
      <c r="D39" s="24" t="n">
        <f aca="false">D20/D$16</f>
        <v>0.78407755362993</v>
      </c>
      <c r="E39" s="24" t="n">
        <f aca="false">E20/E$16</f>
        <v>0.809747752069994</v>
      </c>
      <c r="F39" s="24" t="n">
        <f aca="false">F20/F$16</f>
        <v>0.771256316406151</v>
      </c>
      <c r="G39" s="6"/>
      <c r="H39" s="25" t="s">
        <v>32</v>
      </c>
      <c r="I39" s="24" t="n">
        <f aca="false">I20/I$11</f>
        <v>0.173578204473287</v>
      </c>
      <c r="J39" s="24" t="n">
        <f aca="false">J20/J$11</f>
        <v>0.139280822125074</v>
      </c>
      <c r="K39" s="24" t="n">
        <f aca="false">K20/K$11</f>
        <v>0.0850832208926115</v>
      </c>
      <c r="L39" s="24" t="n">
        <f aca="false">L20/L$11</f>
        <v>0.119708994708995</v>
      </c>
      <c r="M39" s="24" t="n">
        <f aca="false">M20/M$11</f>
        <v>0.115195836343295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0.000955525727941302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0.0111371941914338</v>
      </c>
      <c r="J40" s="24" t="n">
        <f aca="false">J21/J$11</f>
        <v>0.00773314423703477</v>
      </c>
      <c r="K40" s="24" t="n">
        <f aca="false">K21/K$11</f>
        <v>0.00678850481327461</v>
      </c>
      <c r="L40" s="24" t="n">
        <f aca="false">L21/L$11</f>
        <v>0.00924315955961526</v>
      </c>
      <c r="M40" s="24" t="n">
        <f aca="false">M21/M$11</f>
        <v>0.00885719579373579</v>
      </c>
      <c r="N40" s="6"/>
      <c r="O40" s="25" t="s">
        <v>36</v>
      </c>
      <c r="P40" s="26" t="n">
        <f aca="false">P21/I$11</f>
        <v>-0.0717851108255788</v>
      </c>
      <c r="Q40" s="26" t="n">
        <f aca="false">Q21/J$11</f>
        <v>-0.0583150591800134</v>
      </c>
      <c r="R40" s="26" t="n">
        <f aca="false">R21/K$11</f>
        <v>-0.0629538906334573</v>
      </c>
      <c r="S40" s="26" t="n">
        <f aca="false">S21/L$11</f>
        <v>-0.0627888286116134</v>
      </c>
      <c r="T40" s="26" t="n">
        <f aca="false">T21/M$11</f>
        <v>-0.0629429001376997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0.162441010281853</v>
      </c>
      <c r="J41" s="24" t="n">
        <f aca="false">J22/J$11</f>
        <v>0.131547677888039</v>
      </c>
      <c r="K41" s="24" t="n">
        <f aca="false">K22/K$11</f>
        <v>0.0782947160793368</v>
      </c>
      <c r="L41" s="24" t="n">
        <f aca="false">L22/L$11</f>
        <v>0.110465835149379</v>
      </c>
      <c r="M41" s="24" t="n">
        <f aca="false">M22/M$11</f>
        <v>0.106338640549559</v>
      </c>
      <c r="N41" s="6"/>
      <c r="O41" s="25" t="s">
        <v>38</v>
      </c>
      <c r="P41" s="26" t="n">
        <f aca="false">P22/I$11</f>
        <v>0.132697327234881</v>
      </c>
      <c r="Q41" s="26" t="n">
        <f aca="false">Q22/J$11</f>
        <v>0.0330720146220125</v>
      </c>
      <c r="R41" s="26" t="n">
        <f aca="false">R22/K$11</f>
        <v>0.0628631263427857</v>
      </c>
      <c r="S41" s="26" t="n">
        <f aca="false">S22/L$11</f>
        <v>0.0343805865957765</v>
      </c>
      <c r="T41" s="26" t="n">
        <f aca="false">T22/M$11</f>
        <v>0.0336037618550532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0.244470832555058</v>
      </c>
      <c r="J42" s="24" t="n">
        <f aca="false">J23/J$11</f>
        <v>0.169017089275375</v>
      </c>
      <c r="K42" s="24" t="n">
        <f aca="false">K23/K$11</f>
        <v>0.178990501849046</v>
      </c>
      <c r="L42" s="24" t="n">
        <f aca="false">L23/L$11</f>
        <v>0.172789704435274</v>
      </c>
      <c r="M42" s="24" t="n">
        <f aca="false">M23/M$11</f>
        <v>0.14162410758265</v>
      </c>
      <c r="N42" s="6"/>
      <c r="O42" s="25" t="s">
        <v>40</v>
      </c>
      <c r="P42" s="26" t="n">
        <f aca="false">P23/I$11</f>
        <v>0.292782785956477</v>
      </c>
      <c r="Q42" s="26" t="n">
        <f aca="false">Q23/J$11</f>
        <v>0.124212463006187</v>
      </c>
      <c r="R42" s="26" t="n">
        <f aca="false">R23/K$11</f>
        <v>0.0367623049259552</v>
      </c>
      <c r="S42" s="26" t="n">
        <f aca="false">S23/L$11</f>
        <v>0.0727146154361344</v>
      </c>
      <c r="T42" s="26" t="n">
        <f aca="false">T23/M$11</f>
        <v>0.0342661148349637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0.0162030295967302</v>
      </c>
      <c r="J43" s="24" t="n">
        <f aca="false">J24/J$11</f>
        <v>0.0131235991777135</v>
      </c>
      <c r="K43" s="24" t="n">
        <f aca="false">K24/K$11</f>
        <v>0.0078013014713777</v>
      </c>
      <c r="L43" s="24" t="n">
        <f aca="false">L24/L$11</f>
        <v>0.0110192784243417</v>
      </c>
      <c r="M43" s="24" t="n">
        <f aca="false">M24/M$11</f>
        <v>0.0106041033606344</v>
      </c>
      <c r="N43" s="6"/>
      <c r="O43" s="2" t="s">
        <v>49</v>
      </c>
      <c r="P43" s="26" t="n">
        <f aca="false">P24/I11</f>
        <v>0.283402566237776</v>
      </c>
      <c r="Q43" s="26" t="n">
        <f aca="false">Q24/J11</f>
        <v>0.18299656439193</v>
      </c>
      <c r="R43" s="26" t="n">
        <f aca="false">R24/K11</f>
        <v>0.126625040539538</v>
      </c>
      <c r="S43" s="26" t="n">
        <f aca="false">S24/L11</f>
        <v>0.136981396475067</v>
      </c>
      <c r="T43" s="26" t="n">
        <f aca="false">T24/M11</f>
        <v>0.109235305092307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0.0699775372105554</v>
      </c>
      <c r="J44" s="24" t="n">
        <f aca="false">J25/J$11</f>
        <v>0.0573694095716888</v>
      </c>
      <c r="K44" s="24" t="n">
        <f aca="false">K25/K$11</f>
        <v>0.0629538906334573</v>
      </c>
      <c r="L44" s="24" t="n">
        <f aca="false">L25/L$11</f>
        <v>0.0627888286116134</v>
      </c>
      <c r="M44" s="24" t="n">
        <f aca="false">M25/M$11</f>
        <v>0.0629429001376997</v>
      </c>
      <c r="N44" s="6"/>
      <c r="O44" s="2" t="s">
        <v>50</v>
      </c>
      <c r="P44" s="26" t="n">
        <f aca="false">P24/B16</f>
        <v>0.320632778490988</v>
      </c>
      <c r="Q44" s="26" t="n">
        <f aca="false">Q24/C16</f>
        <v>0.260940637351637</v>
      </c>
      <c r="R44" s="26" t="n">
        <f aca="false">R24/D16</f>
        <v>0.189232577354717</v>
      </c>
      <c r="S44" s="26" t="n">
        <f aca="false">S24/E16</f>
        <v>0.186906164683884</v>
      </c>
      <c r="T44" s="26" t="n">
        <f aca="false">T24/F16</f>
        <v>0.15345103402244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0.00191738451956922</v>
      </c>
      <c r="J45" s="24" t="n">
        <f aca="false">J26/J$11</f>
        <v>0.00101625811241277</v>
      </c>
      <c r="K45" s="24" t="n">
        <f aca="false">K26/K$11</f>
        <v>0.00106039256662597</v>
      </c>
      <c r="L45" s="24" t="n">
        <f aca="false">L26/L$11</f>
        <v>0.00117270212206921</v>
      </c>
      <c r="M45" s="24" t="n">
        <f aca="false">M26/M$11</f>
        <v>0.00120204800057843</v>
      </c>
      <c r="N45" s="6"/>
      <c r="O45" s="2" t="s">
        <v>51</v>
      </c>
      <c r="P45" s="26" t="n">
        <f aca="false">P24/B20</f>
        <v>0.417627867241285</v>
      </c>
      <c r="Q45" s="26" t="n">
        <f aca="false">Q24/C20</f>
        <v>0.332203523286081</v>
      </c>
      <c r="R45" s="26" t="n">
        <f aca="false">R24/D20</f>
        <v>0.241344209483685</v>
      </c>
      <c r="S45" s="26" t="n">
        <f aca="false">S24/E20</f>
        <v>0.230820232851635</v>
      </c>
      <c r="T45" s="26" t="n">
        <f aca="false">T24/F20</f>
        <v>0.19896243409387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0.318813891510056</v>
      </c>
      <c r="J46" s="24" t="n">
        <f aca="false">J27/J$11</f>
        <v>0.229055500301599</v>
      </c>
      <c r="K46" s="24" t="n">
        <f aca="false">K27/K$11</f>
        <v>0.185469633256922</v>
      </c>
      <c r="L46" s="24" t="n">
        <f aca="false">L27/L$11</f>
        <v>0.208274730426629</v>
      </c>
      <c r="M46" s="24" t="n">
        <f aca="false">M27/M$11</f>
        <v>0.173213696633297</v>
      </c>
      <c r="N46" s="6"/>
      <c r="O46" s="2" t="s">
        <v>52</v>
      </c>
      <c r="P46" s="26" t="n">
        <f aca="false">P24/I22</f>
        <v>1.74464912367906</v>
      </c>
      <c r="Q46" s="26" t="n">
        <f aca="false">Q24/J22</f>
        <v>1.39110448264757</v>
      </c>
      <c r="R46" s="26" t="n">
        <f aca="false">R24/K22</f>
        <v>1.61728717952343</v>
      </c>
      <c r="S46" s="26" t="n">
        <f aca="false">S24/L22</f>
        <v>1.24003404572854</v>
      </c>
      <c r="T46" s="26" t="n">
        <f aca="false">T24/M22</f>
        <v>1.02723999975717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1.38053570726207</v>
      </c>
      <c r="Q47" s="26" t="n">
        <f aca="false">Q24/(C22-C20)</f>
        <v>1.21641718490705</v>
      </c>
      <c r="R47" s="26" t="n">
        <f aca="false">R24/(D22-D20)</f>
        <v>0.876391410601151</v>
      </c>
      <c r="S47" s="26" t="n">
        <f aca="false">S24/(E22-E20)</f>
        <v>0.982412385227882</v>
      </c>
      <c r="T47" s="26" t="n">
        <f aca="false">T24/(F22-F20)</f>
        <v>0.670842716229503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4.04990769230769</v>
      </c>
      <c r="Q48" s="26" t="n">
        <f aca="false">Q24/J25</f>
        <v>3.18979340659341</v>
      </c>
      <c r="R48" s="26" t="n">
        <f aca="false">R24/K25</f>
        <v>2.01139340659341</v>
      </c>
      <c r="S48" s="26" t="n">
        <f aca="false">S24/L25</f>
        <v>2.18162051282051</v>
      </c>
      <c r="T48" s="26" t="n">
        <f aca="false">T24/M25</f>
        <v>1.73546666666667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5.41983302621962</v>
      </c>
      <c r="Q49" s="26" t="n">
        <f aca="false">Q24/(Q18*-1)</f>
        <v>5.3487676160151</v>
      </c>
      <c r="R49" s="26" t="n">
        <f aca="false">R24/(R18*-1)</f>
        <v>1.3779903153533</v>
      </c>
      <c r="S49" s="26" t="n">
        <f aca="false">S24/(S18*-1)</f>
        <v>1.57971036019309</v>
      </c>
      <c r="T49" s="26" t="n">
        <f aca="false">T24/(T18*-1)</f>
        <v>1.15486151872125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0.0637279138595331</v>
      </c>
      <c r="J50" s="28" t="n">
        <f aca="false">LN(J13/K13)</f>
        <v>0.245722588816486</v>
      </c>
      <c r="K50" s="28" t="n">
        <f aca="false">LN(K13/L13)</f>
        <v>0.128937494780819</v>
      </c>
      <c r="L50" s="28" t="n">
        <f aca="false">LN(L13/M13)</f>
        <v>0.049592400827467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B23/B17</f>
        <v>3.88421205400336</v>
      </c>
      <c r="C51" s="30" t="n">
        <f aca="false">C23/C17</f>
        <v>4.13774185996804</v>
      </c>
      <c r="D51" s="30" t="n">
        <f aca="false">D23/D17</f>
        <v>3.50409205272813</v>
      </c>
      <c r="E51" s="30" t="n">
        <f aca="false">E23/E17</f>
        <v>4.74863874423228</v>
      </c>
      <c r="F51" s="30" t="n">
        <f aca="false">F23/F17</f>
        <v>3.89379547117207</v>
      </c>
      <c r="H51" s="29" t="s">
        <v>58</v>
      </c>
      <c r="I51" s="63" t="n">
        <f aca="false">I13/I11</f>
        <v>0.436108086227398</v>
      </c>
      <c r="J51" s="63" t="n">
        <f aca="false">J13/J11</f>
        <v>0.383381481608502</v>
      </c>
      <c r="K51" s="63" t="n">
        <f aca="false">K13/K11</f>
        <v>0.329046565401759</v>
      </c>
      <c r="L51" s="63" t="n">
        <f aca="false">L13/L11</f>
        <v>0.336563577069906</v>
      </c>
      <c r="M51" s="63" t="n">
        <f aca="false">M13/M11</f>
        <v>0.321065600704444</v>
      </c>
      <c r="O51" s="2" t="s">
        <v>59</v>
      </c>
      <c r="P51" s="32" t="n">
        <f aca="false">(P11-P24-P25)/B16</f>
        <v>-0.0785504266675112</v>
      </c>
      <c r="Q51" s="32" t="n">
        <f aca="false">(Q11-Q24-Q25)/C16</f>
        <v>-0.0255353454574744</v>
      </c>
      <c r="R51" s="32" t="n">
        <f aca="false">(R11-R24-R25)/D16</f>
        <v>0.0619317444025299</v>
      </c>
      <c r="S51" s="32" t="n">
        <f aca="false">(S11-S24-S25)/E16</f>
        <v>0.0127481553925277</v>
      </c>
      <c r="T51" s="32" t="n">
        <f aca="false">(T11-T24-T25)/F16</f>
        <v>0.0600307975811747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0.196380938692885</v>
      </c>
      <c r="C52" s="31" t="n">
        <f aca="false">J20/C16</f>
        <v>0.198604966256839</v>
      </c>
      <c r="D52" s="31" t="n">
        <f aca="false">K20/D16</f>
        <v>0.127151131486684</v>
      </c>
      <c r="E52" s="31" t="n">
        <f aca="false">L20/E16</f>
        <v>0.163338596736339</v>
      </c>
      <c r="F52" s="31" t="n">
        <f aca="false">M20/F16</f>
        <v>0.161824239764067</v>
      </c>
      <c r="G52" s="31"/>
      <c r="H52" s="29" t="s">
        <v>61</v>
      </c>
      <c r="I52" s="63" t="n">
        <f aca="false">I16/I11</f>
        <v>0.227980895055764</v>
      </c>
      <c r="J52" s="63" t="n">
        <f aca="false">J16/J11</f>
        <v>0.2029106842771</v>
      </c>
      <c r="K52" s="63" t="n">
        <f aca="false">K16/K11</f>
        <v>0.20344705065865</v>
      </c>
      <c r="L52" s="63" t="n">
        <f aca="false">L16/L11</f>
        <v>0.181421075408417</v>
      </c>
      <c r="M52" s="63" t="n">
        <f aca="false">M16/M11</f>
        <v>0.178089027729091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0.255788422441208</v>
      </c>
      <c r="C53" s="31" t="n">
        <f aca="false">J20/C20</f>
        <v>0.25284398092324</v>
      </c>
      <c r="D53" s="31" t="n">
        <f aca="false">K20/D20</f>
        <v>0.162166524086847</v>
      </c>
      <c r="E53" s="31" t="n">
        <f aca="false">L20/E20</f>
        <v>0.201715406209883</v>
      </c>
      <c r="F53" s="31" t="n">
        <f aca="false">M20/F20</f>
        <v>0.209819013889085</v>
      </c>
      <c r="H53" s="29" t="s">
        <v>11</v>
      </c>
      <c r="I53" s="63" t="n">
        <f aca="false">I17/I11</f>
        <v>0.0408275866523769</v>
      </c>
      <c r="J53" s="63" t="n">
        <f aca="false">J17/J11</f>
        <v>0.041443661474588</v>
      </c>
      <c r="K53" s="63" t="n">
        <f aca="false">K17/K11</f>
        <v>0.0394880008500851</v>
      </c>
      <c r="L53" s="63" t="n">
        <f aca="false">L17/L11</f>
        <v>0.0366809116809117</v>
      </c>
      <c r="M53" s="63" t="n">
        <f aca="false">M17/M11</f>
        <v>0.0296277072709702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5.77962473827813</v>
      </c>
      <c r="C54" s="30" t="n">
        <f aca="false">J11/C12</f>
        <v>5.2024664147775</v>
      </c>
      <c r="D54" s="30" t="n">
        <f aca="false">K11/D12</f>
        <v>5.12272693766692</v>
      </c>
      <c r="E54" s="30" t="n">
        <f aca="false">L11/E12</f>
        <v>5.03475444279086</v>
      </c>
      <c r="F54" s="30" t="n">
        <f aca="false">M11/F12</f>
        <v>5.24390392525263</v>
      </c>
      <c r="H54" s="29" t="s">
        <v>64</v>
      </c>
      <c r="I54" s="63" t="n">
        <f aca="false">I25/I22</f>
        <v>0.430787379918018</v>
      </c>
      <c r="J54" s="63" t="n">
        <f aca="false">J25/J22</f>
        <v>0.436111153710491</v>
      </c>
      <c r="K54" s="63" t="n">
        <f aca="false">K25/K22</f>
        <v>0.804063080957666</v>
      </c>
      <c r="L54" s="63" t="n">
        <f aca="false">L25/L22</f>
        <v>0.568400433733254</v>
      </c>
      <c r="M54" s="63" t="n">
        <f aca="false">M25/M22</f>
        <v>0.591909956836105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0.232252434185044</v>
      </c>
      <c r="C55" s="31" t="n">
        <f aca="false">(C22-C20)/C16</f>
        <v>0.214515743931697</v>
      </c>
      <c r="D55" s="31" t="n">
        <f aca="false">(D22-D20)/D16</f>
        <v>0.21592244637007</v>
      </c>
      <c r="E55" s="31" t="n">
        <f aca="false">(E22-E20)/E16</f>
        <v>0.190252247930006</v>
      </c>
      <c r="F55" s="31" t="n">
        <f aca="false">(F22-F20)/F16</f>
        <v>0.228743683593849</v>
      </c>
      <c r="H55" s="29" t="s">
        <v>66</v>
      </c>
      <c r="I55" s="63" t="n">
        <f aca="false">I22/I11</f>
        <v>0.162441010281853</v>
      </c>
      <c r="J55" s="63" t="n">
        <f aca="false">J22/J11</f>
        <v>0.131547677888039</v>
      </c>
      <c r="K55" s="63" t="n">
        <f aca="false">K22/K11</f>
        <v>0.0782947160793368</v>
      </c>
      <c r="L55" s="63" t="n">
        <f aca="false">L22/L11</f>
        <v>0.110465835149379</v>
      </c>
      <c r="M55" s="63" t="n">
        <f aca="false">M22/M11</f>
        <v>0.106338640549559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0.302511456273405</v>
      </c>
      <c r="C56" s="31" t="n">
        <f aca="false">(C22-C20)/C20</f>
        <v>0.273099991851451</v>
      </c>
      <c r="D56" s="31" t="n">
        <f aca="false">(D22-D20)/D20</f>
        <v>0.275384042522893</v>
      </c>
      <c r="E56" s="31" t="n">
        <f aca="false">(E22-E20)/E20</f>
        <v>0.234952486677062</v>
      </c>
      <c r="F56" s="31" t="n">
        <f aca="false">(F22-F20)/F20</f>
        <v>0.296585815542794</v>
      </c>
      <c r="H56" s="33" t="s">
        <v>68</v>
      </c>
      <c r="I56" s="34" t="n">
        <f aca="false">I13/B16</f>
        <v>0.493399016338333</v>
      </c>
      <c r="J56" s="34" t="n">
        <f aca="false">J13/C16</f>
        <v>0.546675881550862</v>
      </c>
      <c r="K56" s="34" t="n">
        <f aca="false">K13/D16</f>
        <v>0.491737885140103</v>
      </c>
      <c r="L56" s="34" t="n">
        <f aca="false">L13/E16</f>
        <v>0.459228836770362</v>
      </c>
      <c r="M56" s="34" t="n">
        <f aca="false">M13/F16</f>
        <v>0.451024953658528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1.13136864901208</v>
      </c>
      <c r="C57" s="30" t="n">
        <f aca="false">J11/C16</f>
        <v>1.42593189232106</v>
      </c>
      <c r="D57" s="30" t="n">
        <f aca="false">K11/D16</f>
        <v>1.49443251151916</v>
      </c>
      <c r="E57" s="30" t="n">
        <f aca="false">L11/E16</f>
        <v>1.36446385781958</v>
      </c>
      <c r="F57" s="30" t="n">
        <f aca="false">M11/F16</f>
        <v>1.40477507608707</v>
      </c>
      <c r="H57" s="33" t="s">
        <v>70</v>
      </c>
      <c r="I57" s="35" t="n">
        <f aca="false">I25/$C$5</f>
        <v>0.0308641960653278</v>
      </c>
      <c r="J57" s="35" t="n">
        <f aca="false">J25/$C$5</f>
        <v>0.0270061715571618</v>
      </c>
      <c r="K57" s="35" t="n">
        <f aca="false">K25/$C$5</f>
        <v>0.0270061715571618</v>
      </c>
      <c r="L57" s="35" t="n">
        <f aca="false">L25/$C$5</f>
        <v>0.0231481470489959</v>
      </c>
      <c r="M57" s="35" t="n">
        <f aca="false">M25/$C$5</f>
        <v>0.0231481470489959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1.30251145627341</v>
      </c>
      <c r="C58" s="30" t="n">
        <f aca="false">C16/C20</f>
        <v>1.27309999185145</v>
      </c>
      <c r="D58" s="30" t="n">
        <f aca="false">D16/D20</f>
        <v>1.27538404252289</v>
      </c>
      <c r="E58" s="30" t="n">
        <f aca="false">E16/E20</f>
        <v>1.23495248667706</v>
      </c>
      <c r="F58" s="30" t="n">
        <f aca="false">F16/F20</f>
        <v>1.29658581554279</v>
      </c>
      <c r="H58" s="36" t="s">
        <v>72</v>
      </c>
      <c r="I58" s="37" t="n">
        <f aca="false">I22/$C$7/1000</f>
        <v>9.28532307692308</v>
      </c>
      <c r="J58" s="37" t="n">
        <f aca="false">J22/$C$7/1000</f>
        <v>8.02547692307692</v>
      </c>
      <c r="K58" s="37" t="n">
        <f aca="false">K22/$C$7/1000</f>
        <v>4.35289230769231</v>
      </c>
      <c r="L58" s="37" t="n">
        <f aca="false">L22/$C$7/1000</f>
        <v>5.27796923076923</v>
      </c>
      <c r="M58" s="37" t="n">
        <f aca="false">M22/$C$7/1000</f>
        <v>5.06833846153846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38.7896307692308</v>
      </c>
      <c r="J59" s="37" t="n">
        <f aca="false">C20/$C$7/1000</f>
        <v>33.6067384615385</v>
      </c>
      <c r="K59" s="37" t="n">
        <f aca="false">D20/$C$7/1000</f>
        <v>29.1694461538462</v>
      </c>
      <c r="L59" s="37" t="n">
        <f aca="false">E20/$C$7/1000</f>
        <v>28.3548</v>
      </c>
      <c r="M59" s="37" t="n">
        <f aca="false">F20/$C$7/1000</f>
        <v>26.1677538461538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90.0217790807005</v>
      </c>
      <c r="J60" s="38" t="n">
        <f aca="false">SQRT(22.5*J58*J59)</f>
        <v>77.9004322171358</v>
      </c>
      <c r="K60" s="38" t="n">
        <f aca="false">SQRT(22.5*K58*K59)</f>
        <v>53.4495818516033</v>
      </c>
      <c r="L60" s="38" t="n">
        <f aca="false">SQRT(22.5*L58*L59)</f>
        <v>58.0280504907226</v>
      </c>
      <c r="M60" s="38" t="n">
        <f aca="false">SQRT(22.5*M58*M59)</f>
        <v>54.6269919415941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6.18215261538462</v>
      </c>
      <c r="J61" s="39" t="n">
        <f aca="false">J58-(C20*0.08/1000/$C$7)</f>
        <v>5.33693784615385</v>
      </c>
      <c r="K61" s="39" t="n">
        <f aca="false">K58-(D20*0.08/1000/$C$7)</f>
        <v>2.01933661538462</v>
      </c>
      <c r="L61" s="39" t="n">
        <f aca="false">L58-(E20*0.08/1000/$C$7)</f>
        <v>3.00958523076923</v>
      </c>
      <c r="M61" s="39" t="n">
        <f aca="false">M58-(F20*0.08/1000/$C$7)</f>
        <v>2.97491815384615</v>
      </c>
      <c r="O61" s="6"/>
    </row>
    <row r="62" customFormat="false" ht="15" hidden="false" customHeight="false" outlineLevel="0" collapsed="false">
      <c r="H62" s="2" t="s">
        <v>76</v>
      </c>
      <c r="I62" s="69" t="n">
        <v>4</v>
      </c>
      <c r="J62" s="69" t="n">
        <v>4</v>
      </c>
      <c r="K62" s="69" t="n">
        <v>3.5</v>
      </c>
      <c r="L62" s="69" t="n">
        <v>3.5</v>
      </c>
      <c r="M62" s="69" t="n">
        <v>3</v>
      </c>
      <c r="O62" s="6"/>
    </row>
    <row r="63" customFormat="false" ht="15" hidden="false" customHeight="false" outlineLevel="0" collapsed="false">
      <c r="A63" s="2"/>
      <c r="H63" s="6"/>
      <c r="I63" s="28"/>
      <c r="J63" s="28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11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0.000259311241248279</v>
      </c>
      <c r="K74" s="6" t="n">
        <f aca="false">K59*$C$7/$C$5</f>
        <v>0.000225072876302333</v>
      </c>
      <c r="L74" s="6" t="n">
        <f aca="false">L59*$C$7/$C$5</f>
        <v>0.000218787026648289</v>
      </c>
      <c r="M74" s="6" t="n">
        <f aca="false">M59*$C$7/$C$5</f>
        <v>0.000201911671324232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8.50518083489604E-005</v>
      </c>
      <c r="K77" s="28" t="n">
        <f aca="false">(K15-K16)/$C$6</f>
        <v>5.38095950726076E-005</v>
      </c>
      <c r="L77" s="28" t="n">
        <f aca="false">(L15-L16)/$C$6</f>
        <v>5.73471885013142E-005</v>
      </c>
      <c r="M77" s="28" t="n">
        <f aca="false">(M15-M16)/$C$6</f>
        <v>5.27735533490403E-005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10" activeCellId="0" sqref="N10:Q10"/>
    </sheetView>
  </sheetViews>
  <sheetFormatPr defaultRowHeight="15"/>
  <cols>
    <col collapsed="false" hidden="false" max="14" min="1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 t="s">
        <v>82</v>
      </c>
      <c r="B1" s="1" t="n">
        <v>2330</v>
      </c>
      <c r="C1" s="1" t="n">
        <v>2330</v>
      </c>
      <c r="O1" s="6"/>
    </row>
    <row r="2" customFormat="false" ht="15" hidden="false" customHeight="false" outlineLevel="0" collapsed="false">
      <c r="A2" s="2" t="s">
        <v>83</v>
      </c>
      <c r="B2" s="0" t="str">
        <f aca="false">IFERROR(__xludf.dummyfunction("GoogleFinance(""TADAWUL:""&amp;B1,""eps"")"),"3.75")</f>
        <v>3.75</v>
      </c>
      <c r="C2" s="0" t="str">
        <f aca="false">IFERROR(__xludf.dummyfunction("GoogleFinance(""TADAWUL:""&amp;B1,""eps"")"),"3.75")</f>
        <v>3.75</v>
      </c>
      <c r="O2" s="6"/>
    </row>
    <row r="3" customFormat="false" ht="15" hidden="false" customHeight="false" outlineLevel="0" collapsed="false">
      <c r="A3" s="2"/>
      <c r="O3" s="6"/>
    </row>
    <row r="4" customFormat="false" ht="15" hidden="false" customHeight="false" outlineLevel="0" collapsed="false">
      <c r="A4" s="2"/>
      <c r="O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IFERROR(__xludf.dummyfunction("GoogleFinance(""TADAWUL:""&amp;B1,""marketcap"")/1000"),"9,154,809.32")</f>
        <v>9,154,809.32</v>
      </c>
      <c r="C5" s="3" t="str">
        <f aca="false">IFERROR(__xludf.dummyfunction("GoogleFinance(""TADAWUL:""&amp;B1,""marketcap"")/1000"),"9,154,809.32")</f>
        <v>9,154,809.32</v>
      </c>
      <c r="O5" s="6"/>
    </row>
    <row r="6" customFormat="false" ht="15" hidden="false" customHeight="false" outlineLevel="0" collapsed="false">
      <c r="A6" s="2" t="s">
        <v>1</v>
      </c>
      <c r="B6" s="4" t="n">
        <f aca="false">B5+(B22-B20)-I27</f>
        <v>10098250.32</v>
      </c>
      <c r="C6" s="4" t="e">
        <f aca="false">C5+(C22-C20)-O23</f>
        <v>#VALUE!</v>
      </c>
      <c r="D6" s="6" t="e">
        <f aca="false">C6/J28</f>
        <v>#VALUE!</v>
      </c>
      <c r="O6" s="6"/>
    </row>
    <row r="7" customFormat="false" ht="15" hidden="false" customHeight="false" outlineLevel="0" collapsed="false">
      <c r="A7" s="2"/>
      <c r="B7" s="5" t="str">
        <f aca="false">IFERROR(__xludf.dummyfunction("GoogleFinance(""TADAWUL:""&amp;B1,""shares"")/1000000"),"196.666154")</f>
        <v>196.666154</v>
      </c>
      <c r="C7" s="5" t="str">
        <f aca="false">IFERROR(__xludf.dummyfunction("GoogleFinance(""TADAWUL:""&amp;B1,""shares"")/1000000"),"196.666154")</f>
        <v>196.666154</v>
      </c>
      <c r="D7" s="6" t="n">
        <f aca="false">J11/C7/1000</f>
        <v>12.0866043884704</v>
      </c>
      <c r="E7" s="6" t="n">
        <f aca="false">47/D7</f>
        <v>3.88860249656504</v>
      </c>
      <c r="O7" s="6"/>
    </row>
    <row r="8" customFormat="false" ht="15" hidden="false" customHeight="false" outlineLevel="0" collapsed="false">
      <c r="O8" s="6"/>
    </row>
    <row r="9" customFormat="false" ht="15" hidden="false" customHeight="false" outlineLevel="0" collapsed="false"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944430</v>
      </c>
      <c r="C11" s="11" t="n">
        <v>328699</v>
      </c>
      <c r="D11" s="11" t="n">
        <v>1265359</v>
      </c>
      <c r="E11" s="11" t="n">
        <v>828644</v>
      </c>
      <c r="F11" s="12" t="n">
        <v>766078</v>
      </c>
      <c r="H11" s="10" t="s">
        <v>7</v>
      </c>
      <c r="I11" s="11" t="n">
        <v>2139372</v>
      </c>
      <c r="J11" s="11" t="n">
        <v>2377026</v>
      </c>
      <c r="K11" s="11" t="n">
        <v>3036376</v>
      </c>
      <c r="L11" s="11" t="n">
        <v>2785602</v>
      </c>
      <c r="M11" s="12" t="n">
        <v>2472436</v>
      </c>
      <c r="O11" s="10" t="s">
        <v>8</v>
      </c>
      <c r="P11" s="11" t="n">
        <v>730660</v>
      </c>
      <c r="Q11" s="11" t="n">
        <v>713025</v>
      </c>
      <c r="R11" s="11" t="n">
        <v>750953</v>
      </c>
      <c r="S11" s="11" t="n">
        <v>556861</v>
      </c>
      <c r="T11" s="12" t="n">
        <v>328237</v>
      </c>
    </row>
    <row r="12" customFormat="false" ht="15" hidden="false" customHeight="false" outlineLevel="0" collapsed="false">
      <c r="A12" s="10" t="s">
        <v>9</v>
      </c>
      <c r="B12" s="11" t="n">
        <v>116685</v>
      </c>
      <c r="C12" s="11" t="n">
        <v>124291</v>
      </c>
      <c r="D12" s="11" t="n">
        <v>123348</v>
      </c>
      <c r="E12" s="11" t="n">
        <v>145195</v>
      </c>
      <c r="F12" s="12" t="n">
        <v>140748</v>
      </c>
      <c r="H12" s="10" t="s">
        <v>10</v>
      </c>
      <c r="I12" s="11" t="n">
        <v>1381313</v>
      </c>
      <c r="J12" s="13" t="n">
        <v>-1592875</v>
      </c>
      <c r="K12" s="11" t="n">
        <v>2255642</v>
      </c>
      <c r="L12" s="11" t="n">
        <v>2174152</v>
      </c>
      <c r="M12" s="12" t="n">
        <v>2085936</v>
      </c>
      <c r="O12" s="10" t="s">
        <v>11</v>
      </c>
      <c r="P12" s="11" t="n">
        <v>198305</v>
      </c>
      <c r="Q12" s="11" t="n">
        <v>210330</v>
      </c>
      <c r="R12" s="11" t="n">
        <v>220255</v>
      </c>
      <c r="S12" s="11" t="n">
        <v>207631</v>
      </c>
      <c r="T12" s="12" t="n">
        <v>197270</v>
      </c>
    </row>
    <row r="13" customFormat="false" ht="15" hidden="false" customHeight="false" outlineLevel="0" collapsed="false">
      <c r="A13" s="10" t="s">
        <v>12</v>
      </c>
      <c r="B13" s="11" t="n">
        <v>1239419</v>
      </c>
      <c r="C13" s="11" t="n">
        <v>1222758</v>
      </c>
      <c r="D13" s="11" t="n">
        <v>223252</v>
      </c>
      <c r="E13" s="11" t="n">
        <v>1900</v>
      </c>
      <c r="F13" s="45" t="n">
        <v>0</v>
      </c>
      <c r="H13" s="10" t="s">
        <v>13</v>
      </c>
      <c r="I13" s="11" t="n">
        <v>758059</v>
      </c>
      <c r="J13" s="11" t="n">
        <v>784151</v>
      </c>
      <c r="K13" s="11" t="n">
        <v>780734</v>
      </c>
      <c r="L13" s="11" t="n">
        <v>611450</v>
      </c>
      <c r="M13" s="12" t="n">
        <v>386500</v>
      </c>
      <c r="O13" s="10" t="s">
        <v>14</v>
      </c>
      <c r="P13" s="13" t="n">
        <v>-110768</v>
      </c>
      <c r="Q13" s="13" t="n">
        <v>-23746</v>
      </c>
      <c r="R13" s="11" t="n">
        <v>67942</v>
      </c>
      <c r="S13" s="11" t="n">
        <v>16770</v>
      </c>
      <c r="T13" s="12" t="n">
        <v>60518</v>
      </c>
    </row>
    <row r="14" customFormat="false" ht="15" hidden="false" customHeight="false" outlineLevel="0" collapsed="false">
      <c r="A14" s="10" t="s">
        <v>15</v>
      </c>
      <c r="B14" s="11" t="n">
        <v>1925854</v>
      </c>
      <c r="C14" s="11" t="n">
        <v>2179171</v>
      </c>
      <c r="D14" s="11" t="n">
        <v>2169059</v>
      </c>
      <c r="E14" s="11" t="n">
        <v>2162605</v>
      </c>
      <c r="F14" s="12" t="n">
        <v>2215248</v>
      </c>
      <c r="H14" s="10" t="s">
        <v>16</v>
      </c>
      <c r="I14" s="11" t="n">
        <v>90343</v>
      </c>
      <c r="J14" s="18" t="s">
        <v>84</v>
      </c>
      <c r="K14" s="11" t="n">
        <v>29055</v>
      </c>
      <c r="L14" s="11" t="n">
        <v>6074</v>
      </c>
      <c r="M14" s="12" t="n">
        <v>3278</v>
      </c>
      <c r="O14" s="10" t="s">
        <v>9</v>
      </c>
      <c r="P14" s="11" t="n">
        <v>7606</v>
      </c>
      <c r="Q14" s="13" t="n">
        <v>-943</v>
      </c>
      <c r="R14" s="11" t="n">
        <v>21847</v>
      </c>
      <c r="S14" s="13" t="n">
        <v>-4447</v>
      </c>
      <c r="T14" s="12" t="n">
        <v>15089</v>
      </c>
    </row>
    <row r="15" customFormat="false" ht="15" hidden="false" customHeight="false" outlineLevel="0" collapsed="false">
      <c r="A15" s="10" t="s">
        <v>17</v>
      </c>
      <c r="B15" s="11" t="n">
        <v>165844</v>
      </c>
      <c r="C15" s="11" t="n">
        <v>31134</v>
      </c>
      <c r="D15" s="11" t="n">
        <v>49485</v>
      </c>
      <c r="E15" s="11" t="n">
        <v>86680</v>
      </c>
      <c r="F15" s="12" t="n">
        <v>133092</v>
      </c>
      <c r="H15" s="10" t="s">
        <v>18</v>
      </c>
      <c r="I15" s="11" t="n">
        <v>848402</v>
      </c>
      <c r="J15" s="11" t="n">
        <v>784151</v>
      </c>
      <c r="K15" s="11" t="n">
        <v>809789</v>
      </c>
      <c r="L15" s="11" t="n">
        <v>617524</v>
      </c>
      <c r="M15" s="12" t="n">
        <v>389778</v>
      </c>
      <c r="O15" s="10" t="s">
        <v>19</v>
      </c>
      <c r="P15" s="13" t="n">
        <v>-14745</v>
      </c>
      <c r="Q15" s="11" t="n">
        <v>7014</v>
      </c>
      <c r="R15" s="13" t="n">
        <v>-11152</v>
      </c>
      <c r="S15" s="11" t="n">
        <v>2607</v>
      </c>
      <c r="T15" s="12" t="n">
        <v>10449</v>
      </c>
    </row>
    <row r="16" customFormat="false" ht="15" hidden="false" customHeight="false" outlineLevel="0" collapsed="false">
      <c r="A16" s="10" t="s">
        <v>20</v>
      </c>
      <c r="B16" s="11" t="n">
        <v>4392232</v>
      </c>
      <c r="C16" s="11" t="n">
        <v>3886053</v>
      </c>
      <c r="D16" s="11" t="n">
        <v>3830503</v>
      </c>
      <c r="E16" s="11" t="n">
        <v>3225024</v>
      </c>
      <c r="F16" s="12" t="n">
        <v>3255166</v>
      </c>
      <c r="H16" s="10" t="s">
        <v>21</v>
      </c>
      <c r="I16" s="11" t="n">
        <v>43849</v>
      </c>
      <c r="J16" s="13" t="n">
        <v>-41636</v>
      </c>
      <c r="K16" s="11" t="n">
        <v>45620</v>
      </c>
      <c r="L16" s="11" t="n">
        <v>45945</v>
      </c>
      <c r="M16" s="12" t="n">
        <v>40099</v>
      </c>
      <c r="O16" s="10" t="s">
        <v>22</v>
      </c>
      <c r="P16" s="13" t="n">
        <v>-10623</v>
      </c>
      <c r="Q16" s="13" t="n">
        <v>-53236</v>
      </c>
      <c r="R16" s="13" t="n">
        <v>-69415</v>
      </c>
      <c r="S16" s="13" t="n">
        <v>-2413</v>
      </c>
      <c r="T16" s="14" t="n">
        <v>-956</v>
      </c>
    </row>
    <row r="17" customFormat="false" ht="15" hidden="false" customHeight="false" outlineLevel="0" collapsed="false">
      <c r="A17" s="10" t="s">
        <v>23</v>
      </c>
      <c r="B17" s="11" t="n">
        <v>294372</v>
      </c>
      <c r="C17" s="11" t="n">
        <v>283095</v>
      </c>
      <c r="D17" s="11" t="n">
        <v>327235</v>
      </c>
      <c r="E17" s="11" t="n">
        <v>487483</v>
      </c>
      <c r="F17" s="12" t="n">
        <v>690616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3" t="n">
        <v>-19898</v>
      </c>
      <c r="Q17" s="13" t="n">
        <v>-8013</v>
      </c>
      <c r="R17" s="13" t="n">
        <v>-47305</v>
      </c>
      <c r="S17" s="13" t="n">
        <v>-15679</v>
      </c>
      <c r="T17" s="14" t="n">
        <v>-20745</v>
      </c>
    </row>
    <row r="18" customFormat="false" ht="15" hidden="false" customHeight="false" outlineLevel="0" collapsed="false">
      <c r="A18" s="10" t="s">
        <v>25</v>
      </c>
      <c r="B18" s="11" t="n">
        <v>1069192</v>
      </c>
      <c r="C18" s="11" t="n">
        <v>1093997</v>
      </c>
      <c r="D18" s="11" t="n">
        <v>1126240</v>
      </c>
      <c r="E18" s="11" t="n">
        <v>483491</v>
      </c>
      <c r="F18" s="12" t="n">
        <v>521918</v>
      </c>
      <c r="H18" s="10" t="s">
        <v>26</v>
      </c>
      <c r="I18" s="11" t="n">
        <v>73893</v>
      </c>
      <c r="J18" s="13" t="n">
        <v>-29490</v>
      </c>
      <c r="K18" s="11" t="n">
        <v>13216</v>
      </c>
      <c r="L18" s="11" t="n">
        <v>14718</v>
      </c>
      <c r="M18" s="12" t="n">
        <v>21442</v>
      </c>
      <c r="O18" s="10" t="s">
        <v>27</v>
      </c>
      <c r="P18" s="13" t="n">
        <v>-122390</v>
      </c>
      <c r="Q18" s="13" t="n">
        <v>-204475</v>
      </c>
      <c r="R18" s="13" t="n">
        <v>-168780</v>
      </c>
      <c r="S18" s="13" t="n">
        <v>-110502</v>
      </c>
      <c r="T18" s="14" t="n">
        <v>-96969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/>
      <c r="H19" s="10" t="s">
        <v>29</v>
      </c>
      <c r="I19" s="11" t="n">
        <v>117742</v>
      </c>
      <c r="J19" s="13" t="n">
        <v>-71126</v>
      </c>
      <c r="K19" s="11" t="n">
        <v>58836</v>
      </c>
      <c r="L19" s="11" t="n">
        <v>60663</v>
      </c>
      <c r="M19" s="12" t="n">
        <v>61541</v>
      </c>
      <c r="O19" s="10" t="s">
        <v>30</v>
      </c>
      <c r="P19" s="11" t="n">
        <v>249574</v>
      </c>
      <c r="Q19" s="13" t="n">
        <v>-916312</v>
      </c>
      <c r="R19" s="13" t="n">
        <v>-391412</v>
      </c>
      <c r="S19" s="13" t="n">
        <v>-317</v>
      </c>
      <c r="T19" s="14" t="n">
        <v>-75624</v>
      </c>
    </row>
    <row r="20" customFormat="false" ht="15" hidden="false" customHeight="false" outlineLevel="0" collapsed="false">
      <c r="A20" s="10" t="s">
        <v>31</v>
      </c>
      <c r="B20" s="11" t="n">
        <v>3028668</v>
      </c>
      <c r="C20" s="11" t="n">
        <v>2508961</v>
      </c>
      <c r="D20" s="11" t="n">
        <v>2377028</v>
      </c>
      <c r="E20" s="11" t="n">
        <v>2254050</v>
      </c>
      <c r="F20" s="12" t="n">
        <v>2042632</v>
      </c>
      <c r="H20" s="10" t="s">
        <v>32</v>
      </c>
      <c r="I20" s="11" t="n">
        <v>730660</v>
      </c>
      <c r="J20" s="11" t="n">
        <v>713025</v>
      </c>
      <c r="K20" s="11" t="n">
        <v>750953</v>
      </c>
      <c r="L20" s="11" t="n">
        <v>556861</v>
      </c>
      <c r="M20" s="12" t="n">
        <v>328237</v>
      </c>
      <c r="O20" s="10" t="s">
        <v>33</v>
      </c>
      <c r="P20" s="13" t="n">
        <v>-40000</v>
      </c>
      <c r="Q20" s="13" t="n">
        <v>-30000</v>
      </c>
      <c r="R20" s="15"/>
      <c r="S20" s="15"/>
      <c r="T20" s="17" t="n">
        <v>0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8" t="s">
        <v>84</v>
      </c>
      <c r="J21" s="18" t="s">
        <v>84</v>
      </c>
      <c r="K21" s="18" t="s">
        <v>84</v>
      </c>
      <c r="L21" s="18" t="s">
        <v>84</v>
      </c>
      <c r="M21" s="45" t="n">
        <v>0</v>
      </c>
      <c r="O21" s="10" t="s">
        <v>36</v>
      </c>
      <c r="P21" s="13" t="n">
        <v>-499719</v>
      </c>
      <c r="Q21" s="13" t="n">
        <v>-492664</v>
      </c>
      <c r="R21" s="13" t="n">
        <v>-32822</v>
      </c>
      <c r="S21" s="13" t="n">
        <v>-568911</v>
      </c>
      <c r="T21" s="14" t="n">
        <v>-431451</v>
      </c>
    </row>
    <row r="22" customFormat="false" ht="15" hidden="false" customHeight="false" outlineLevel="0" collapsed="false">
      <c r="A22" s="10" t="s">
        <v>37</v>
      </c>
      <c r="B22" s="11" t="n">
        <v>4392232</v>
      </c>
      <c r="C22" s="11" t="n">
        <v>3886053</v>
      </c>
      <c r="D22" s="11" t="n">
        <v>3830503</v>
      </c>
      <c r="E22" s="11" t="n">
        <v>3225024</v>
      </c>
      <c r="F22" s="12" t="n">
        <v>3255166</v>
      </c>
      <c r="H22" s="10" t="s">
        <v>8</v>
      </c>
      <c r="I22" s="11" t="n">
        <v>730660</v>
      </c>
      <c r="J22" s="11" t="n">
        <v>713025</v>
      </c>
      <c r="K22" s="11" t="n">
        <v>750953</v>
      </c>
      <c r="L22" s="11" t="n">
        <v>556861</v>
      </c>
      <c r="M22" s="12" t="n">
        <v>328237</v>
      </c>
      <c r="O22" s="10" t="s">
        <v>38</v>
      </c>
      <c r="P22" s="11" t="n">
        <v>84984</v>
      </c>
      <c r="Q22" s="11" t="n">
        <v>884004</v>
      </c>
      <c r="R22" s="11" t="n">
        <v>543893</v>
      </c>
      <c r="S22" s="11" t="n">
        <v>462293</v>
      </c>
      <c r="T22" s="12" t="n">
        <v>476475</v>
      </c>
    </row>
    <row r="23" customFormat="false" ht="15" hidden="false" customHeight="false" outlineLevel="0" collapsed="false">
      <c r="H23" s="10" t="s">
        <v>39</v>
      </c>
      <c r="I23" s="11" t="n">
        <v>612810</v>
      </c>
      <c r="J23" s="11" t="n">
        <v>487392</v>
      </c>
      <c r="K23" s="11" t="n">
        <v>407360</v>
      </c>
      <c r="L23" s="11" t="n">
        <v>251628</v>
      </c>
      <c r="M23" s="12" t="n">
        <v>496342</v>
      </c>
      <c r="O23" s="10" t="s">
        <v>40</v>
      </c>
      <c r="P23" s="11" t="n">
        <v>452986</v>
      </c>
      <c r="Q23" s="11" t="n">
        <v>84984</v>
      </c>
      <c r="R23" s="11" t="n">
        <v>884004</v>
      </c>
      <c r="S23" s="11" t="n">
        <v>543893</v>
      </c>
      <c r="T23" s="12" t="n">
        <v>462293</v>
      </c>
    </row>
    <row r="24" customFormat="false" ht="15" hidden="false" customHeight="false" outlineLevel="0" collapsed="false">
      <c r="H24" s="10" t="s">
        <v>41</v>
      </c>
      <c r="I24" s="11" t="n">
        <v>73066</v>
      </c>
      <c r="J24" s="11" t="n">
        <v>71303</v>
      </c>
      <c r="K24" s="11" t="n">
        <v>75095</v>
      </c>
      <c r="L24" s="11" t="n">
        <v>55686</v>
      </c>
      <c r="M24" s="12" t="n">
        <v>32824</v>
      </c>
      <c r="O24" s="2" t="s">
        <v>42</v>
      </c>
      <c r="P24" s="12" t="n">
        <f aca="false">SUM(P11:P17)</f>
        <v>780537</v>
      </c>
      <c r="Q24" s="12" t="n">
        <f aca="false">SUM(Q11:Q17)</f>
        <v>844431</v>
      </c>
      <c r="R24" s="12" t="n">
        <f aca="false">SUM(R11:R17)</f>
        <v>933125</v>
      </c>
      <c r="S24" s="12" t="n">
        <f aca="false">SUM(S11:S17)</f>
        <v>761330</v>
      </c>
      <c r="T24" s="12" t="n">
        <f aca="false">SUM(T11:T17)</f>
        <v>589862</v>
      </c>
    </row>
    <row r="25" customFormat="false" ht="15" hidden="false" customHeight="false" outlineLevel="0" collapsed="false">
      <c r="H25" s="10" t="s">
        <v>43</v>
      </c>
      <c r="I25" s="11" t="n">
        <v>496905</v>
      </c>
      <c r="J25" s="11" t="n">
        <v>491985</v>
      </c>
      <c r="K25" s="11" t="n">
        <v>573983</v>
      </c>
      <c r="L25" s="11" t="n">
        <v>327990</v>
      </c>
      <c r="M25" s="12" t="n">
        <v>305370</v>
      </c>
      <c r="O25" s="2" t="s">
        <v>44</v>
      </c>
      <c r="P25" s="12" t="n">
        <f aca="false">P18+P19</f>
        <v>127184</v>
      </c>
      <c r="Q25" s="12" t="n">
        <f aca="false">Q18+Q19</f>
        <v>-1120787</v>
      </c>
      <c r="R25" s="12" t="n">
        <f aca="false">R18+R19</f>
        <v>-560192</v>
      </c>
      <c r="S25" s="12" t="n">
        <f aca="false">S18+S19</f>
        <v>-110819</v>
      </c>
      <c r="T25" s="12" t="n">
        <f aca="false">T18+T19</f>
        <v>-172593</v>
      </c>
    </row>
    <row r="26" customFormat="false" ht="15" hidden="false" customHeight="false" outlineLevel="0" collapsed="false">
      <c r="H26" s="10" t="s">
        <v>45</v>
      </c>
      <c r="I26" s="11" t="n">
        <v>353376</v>
      </c>
      <c r="J26" s="11" t="n">
        <v>24319</v>
      </c>
      <c r="K26" s="11" t="n">
        <v>21843</v>
      </c>
      <c r="L26" s="11" t="n">
        <v>17453</v>
      </c>
      <c r="M26" s="12" t="n">
        <v>234757</v>
      </c>
      <c r="O26" s="2" t="s">
        <v>46</v>
      </c>
      <c r="P26" s="12" t="n">
        <f aca="false">P20+P21</f>
        <v>-539719</v>
      </c>
      <c r="Q26" s="12" t="n">
        <f aca="false">Q20+Q21</f>
        <v>-522664</v>
      </c>
      <c r="R26" s="12" t="n">
        <f aca="false">R20+R21</f>
        <v>-32822</v>
      </c>
      <c r="S26" s="12" t="n">
        <f aca="false">S20+S21</f>
        <v>-568911</v>
      </c>
      <c r="T26" s="12" t="n">
        <f aca="false">T20+T21</f>
        <v>-431451</v>
      </c>
    </row>
    <row r="27" customFormat="false" ht="15" hidden="false" customHeight="false" outlineLevel="0" collapsed="false">
      <c r="H27" s="10" t="s">
        <v>47</v>
      </c>
      <c r="I27" s="11" t="n">
        <v>420123</v>
      </c>
      <c r="J27" s="11" t="n">
        <v>612810</v>
      </c>
      <c r="K27" s="11" t="n">
        <v>487392</v>
      </c>
      <c r="L27" s="11" t="n">
        <v>407360</v>
      </c>
      <c r="M27" s="12" t="n">
        <v>251628</v>
      </c>
      <c r="O27" s="2" t="s">
        <v>48</v>
      </c>
      <c r="P27" s="12" t="n">
        <f aca="false">P24+P25+P26</f>
        <v>368002</v>
      </c>
      <c r="Q27" s="12" t="n">
        <f aca="false">Q24+Q25+Q26</f>
        <v>-799020</v>
      </c>
      <c r="R27" s="12" t="n">
        <f aca="false">R24+R25+R26</f>
        <v>340111</v>
      </c>
      <c r="S27" s="12" t="n">
        <f aca="false">S24+S25+S26</f>
        <v>81600</v>
      </c>
      <c r="T27" s="12" t="n">
        <f aca="false">T24+T25+T26</f>
        <v>-14182</v>
      </c>
    </row>
    <row r="28" customFormat="false" ht="15" hidden="false" customHeight="false" outlineLevel="0" collapsed="false">
      <c r="I28" s="4"/>
      <c r="J28" s="4" t="n">
        <f aca="false">J11-(J12+J16)</f>
        <v>4011537</v>
      </c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0.215022794788618</v>
      </c>
      <c r="C30" s="24" t="n">
        <f aca="false">C11/C$16</f>
        <v>0.0845842812745992</v>
      </c>
      <c r="D30" s="24" t="n">
        <f aca="false">D11/D$16</f>
        <v>0.330337556190401</v>
      </c>
      <c r="E30" s="24" t="n">
        <f aca="false">E11/E$16</f>
        <v>0.25694196384275</v>
      </c>
      <c r="F30" s="24" t="n">
        <f aca="false">F11/F$16</f>
        <v>0.235342222178531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0.341530131272168</v>
      </c>
      <c r="Q30" s="26" t="n">
        <f aca="false">Q11/J$11</f>
        <v>0.299965166556866</v>
      </c>
      <c r="R30" s="26" t="n">
        <f aca="false">R11/K$11</f>
        <v>0.247318843252614</v>
      </c>
      <c r="S30" s="26" t="n">
        <f aca="false">S11/L$11</f>
        <v>0.199906878297761</v>
      </c>
      <c r="T30" s="26" t="n">
        <f aca="false">T11/M$11</f>
        <v>0.132758542587149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0.0265662196350284</v>
      </c>
      <c r="C31" s="24" t="n">
        <f aca="false">C12/C$16</f>
        <v>0.0319838664063511</v>
      </c>
      <c r="D31" s="24" t="n">
        <f aca="false">D12/D$16</f>
        <v>0.032201515049068</v>
      </c>
      <c r="E31" s="24" t="n">
        <f aca="false">E12/E$16</f>
        <v>0.0450213703836003</v>
      </c>
      <c r="F31" s="24" t="n">
        <f aca="false">F12/F$16</f>
        <v>0.0432383479060669</v>
      </c>
      <c r="G31" s="6"/>
      <c r="H31" s="25" t="s">
        <v>10</v>
      </c>
      <c r="I31" s="24" t="n">
        <f aca="false">I12/I$11</f>
        <v>0.645662839375293</v>
      </c>
      <c r="J31" s="24" t="n">
        <f aca="false">J12/J$11</f>
        <v>-0.670112569235675</v>
      </c>
      <c r="K31" s="24" t="n">
        <f aca="false">K12/K$11</f>
        <v>0.742873082911998</v>
      </c>
      <c r="L31" s="24" t="n">
        <f aca="false">L12/L$11</f>
        <v>0.780496280516743</v>
      </c>
      <c r="M31" s="24" t="n">
        <f aca="false">M12/M$11</f>
        <v>0.843676438945235</v>
      </c>
      <c r="N31" s="6"/>
      <c r="O31" s="25" t="s">
        <v>11</v>
      </c>
      <c r="P31" s="26" t="n">
        <f aca="false">P12/I$11</f>
        <v>0.092693089373891</v>
      </c>
      <c r="Q31" s="26" t="n">
        <f aca="false">Q12/J$11</f>
        <v>0.0884845180490243</v>
      </c>
      <c r="R31" s="26" t="n">
        <f aca="false">R12/K$11</f>
        <v>0.0725387764888143</v>
      </c>
      <c r="S31" s="26" t="n">
        <f aca="false">S12/L$11</f>
        <v>0.0745372095511132</v>
      </c>
      <c r="T31" s="26" t="n">
        <f aca="false">T12/M$11</f>
        <v>0.0797877073461153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0.282184319953955</v>
      </c>
      <c r="C32" s="24" t="n">
        <f aca="false">C13/C$16</f>
        <v>0.314652939627946</v>
      </c>
      <c r="D32" s="24" t="n">
        <f aca="false">D13/D$16</f>
        <v>0.0582826850677313</v>
      </c>
      <c r="E32" s="24" t="n">
        <f aca="false">E13/E$16</f>
        <v>0.000589142902502431</v>
      </c>
      <c r="F32" s="24" t="n">
        <f aca="false">F13/F$16</f>
        <v>0</v>
      </c>
      <c r="G32" s="6"/>
      <c r="H32" s="25" t="s">
        <v>13</v>
      </c>
      <c r="I32" s="24" t="n">
        <f aca="false">I13/I$11</f>
        <v>0.354337160624707</v>
      </c>
      <c r="J32" s="24" t="n">
        <f aca="false">J13/J$11</f>
        <v>0.329887430764325</v>
      </c>
      <c r="K32" s="24" t="n">
        <f aca="false">K13/K$11</f>
        <v>0.257126917088002</v>
      </c>
      <c r="L32" s="24" t="n">
        <f aca="false">L13/L$11</f>
        <v>0.219503719483257</v>
      </c>
      <c r="M32" s="24" t="n">
        <f aca="false">M13/M$11</f>
        <v>0.156323561054765</v>
      </c>
      <c r="N32" s="6"/>
      <c r="O32" s="25" t="s">
        <v>14</v>
      </c>
      <c r="P32" s="26" t="n">
        <f aca="false">P13/I$11</f>
        <v>-0.0517759417249548</v>
      </c>
      <c r="Q32" s="26" t="n">
        <f aca="false">Q13/J$11</f>
        <v>-0.00998979396943912</v>
      </c>
      <c r="R32" s="26" t="n">
        <f aca="false">R13/K$11</f>
        <v>0.022376016672507</v>
      </c>
      <c r="S32" s="26" t="n">
        <f aca="false">S13/L$11</f>
        <v>0.00602024266208884</v>
      </c>
      <c r="T32" s="26" t="n">
        <f aca="false">T13/M$11</f>
        <v>0.0244770744318559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0.438468186562094</v>
      </c>
      <c r="C33" s="24" t="n">
        <f aca="false">C14/C$16</f>
        <v>0.560767184595784</v>
      </c>
      <c r="D33" s="24" t="n">
        <f aca="false">D14/D$16</f>
        <v>0.566259574786914</v>
      </c>
      <c r="E33" s="24" t="n">
        <f aca="false">E14/E$16</f>
        <v>0.670570203508563</v>
      </c>
      <c r="F33" s="24" t="n">
        <f aca="false">F14/F$16</f>
        <v>0.680533035796024</v>
      </c>
      <c r="G33" s="6"/>
      <c r="H33" s="25" t="s">
        <v>16</v>
      </c>
      <c r="I33" s="24" t="n">
        <f aca="false">I14/I$11</f>
        <v>0.0422287475016033</v>
      </c>
      <c r="J33" s="24" t="e">
        <f aca="false">J14/J$11</f>
        <v>#VALUE!</v>
      </c>
      <c r="K33" s="24" t="n">
        <f aca="false">K14/K$11</f>
        <v>0.00956897301256498</v>
      </c>
      <c r="L33" s="24" t="n">
        <f aca="false">L14/L$11</f>
        <v>0.00218049814725865</v>
      </c>
      <c r="M33" s="24" t="n">
        <f aca="false">M14/M$11</f>
        <v>0.00132581793826008</v>
      </c>
      <c r="N33" s="6"/>
      <c r="O33" s="25" t="s">
        <v>9</v>
      </c>
      <c r="P33" s="26" t="n">
        <f aca="false">P14/I$11</f>
        <v>0.00355524892351587</v>
      </c>
      <c r="Q33" s="26" t="n">
        <f aca="false">Q14/J$11</f>
        <v>-0.000396714213475158</v>
      </c>
      <c r="R33" s="26" t="n">
        <f aca="false">R14/K$11</f>
        <v>0.0071950904631047</v>
      </c>
      <c r="S33" s="26" t="n">
        <f aca="false">S14/L$11</f>
        <v>-0.00159642332249905</v>
      </c>
      <c r="T33" s="26" t="n">
        <f aca="false">T14/M$11</f>
        <v>0.00610288800195435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0.0377584790603046</v>
      </c>
      <c r="C34" s="24" t="n">
        <f aca="false">C15/C$16</f>
        <v>0.00801172809531934</v>
      </c>
      <c r="D34" s="24" t="n">
        <f aca="false">D15/D$16</f>
        <v>0.0129186689058852</v>
      </c>
      <c r="E34" s="24" t="n">
        <f aca="false">E15/E$16</f>
        <v>0.0268773193625846</v>
      </c>
      <c r="F34" s="24" t="n">
        <f aca="false">F15/F$16</f>
        <v>0.0408863941193782</v>
      </c>
      <c r="G34" s="6"/>
      <c r="H34" s="25" t="s">
        <v>18</v>
      </c>
      <c r="I34" s="24" t="n">
        <f aca="false">I15/I$11</f>
        <v>0.39656590812631</v>
      </c>
      <c r="J34" s="24" t="n">
        <f aca="false">J15/J$11</f>
        <v>0.329887430764325</v>
      </c>
      <c r="K34" s="24" t="n">
        <f aca="false">K15/K$11</f>
        <v>0.266695890100567</v>
      </c>
      <c r="L34" s="24" t="n">
        <f aca="false">L15/L$11</f>
        <v>0.221684217630516</v>
      </c>
      <c r="M34" s="24" t="n">
        <f aca="false">M15/M$11</f>
        <v>0.157649378993026</v>
      </c>
      <c r="N34" s="6"/>
      <c r="O34" s="25" t="s">
        <v>19</v>
      </c>
      <c r="P34" s="26" t="n">
        <f aca="false">P15/I$11</f>
        <v>-0.00689220948951375</v>
      </c>
      <c r="Q34" s="26" t="n">
        <f aca="false">Q15/J$11</f>
        <v>0.00295074601624046</v>
      </c>
      <c r="R34" s="26" t="n">
        <f aca="false">R15/K$11</f>
        <v>-0.00367279941614609</v>
      </c>
      <c r="S34" s="26" t="n">
        <f aca="false">S15/L$11</f>
        <v>0.00093588387716551</v>
      </c>
      <c r="T34" s="26" t="n">
        <f aca="false">T15/M$11</f>
        <v>0.00422619635048187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0.0204962016890938</v>
      </c>
      <c r="J35" s="24" t="n">
        <f aca="false">J16/J$11</f>
        <v>-0.0175160052940102</v>
      </c>
      <c r="K35" s="24" t="n">
        <f aca="false">K16/K$11</f>
        <v>0.0150244897206407</v>
      </c>
      <c r="L35" s="24" t="n">
        <f aca="false">L16/L$11</f>
        <v>0.0164937417477443</v>
      </c>
      <c r="M35" s="24" t="n">
        <f aca="false">M16/M$11</f>
        <v>0.016218417787154</v>
      </c>
      <c r="N35" s="6"/>
      <c r="O35" s="25" t="s">
        <v>22</v>
      </c>
      <c r="P35" s="26" t="n">
        <f aca="false">P16/I$11</f>
        <v>-0.00496547584992231</v>
      </c>
      <c r="Q35" s="26" t="n">
        <f aca="false">Q16/J$11</f>
        <v>-0.0223960528828881</v>
      </c>
      <c r="R35" s="26" t="n">
        <f aca="false">R16/K$11</f>
        <v>-0.0228611344576561</v>
      </c>
      <c r="S35" s="26" t="n">
        <f aca="false">S16/L$11</f>
        <v>-0.0008662400443423</v>
      </c>
      <c r="T35" s="26" t="n">
        <f aca="false">T16/M$11</f>
        <v>-0.000386663193708553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0.0670210498898965</v>
      </c>
      <c r="C36" s="24" t="n">
        <f aca="false">C17/C$16</f>
        <v>0.0728489807009838</v>
      </c>
      <c r="D36" s="24" t="n">
        <f aca="false">D17/D$16</f>
        <v>0.0854287282897311</v>
      </c>
      <c r="E36" s="24" t="n">
        <f aca="false">E17/E$16</f>
        <v>0.151156394495049</v>
      </c>
      <c r="F36" s="24" t="n">
        <f aca="false">F17/F$16</f>
        <v>0.212159994298294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-0.00930086025244791</v>
      </c>
      <c r="Q36" s="26" t="n">
        <f aca="false">Q17/J$11</f>
        <v>-0.00337101908014468</v>
      </c>
      <c r="R36" s="26" t="n">
        <f aca="false">R17/K$11</f>
        <v>-0.0155794275807739</v>
      </c>
      <c r="S36" s="26" t="n">
        <f aca="false">S17/L$11</f>
        <v>-0.00562858584966553</v>
      </c>
      <c r="T36" s="26" t="n">
        <f aca="false">T17/M$11</f>
        <v>-0.00839051041159407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0.243427942786264</v>
      </c>
      <c r="C37" s="24" t="n">
        <f aca="false">C18/C$16</f>
        <v>0.281518805842329</v>
      </c>
      <c r="D37" s="24" t="n">
        <f aca="false">D18/D$16</f>
        <v>0.294018827292395</v>
      </c>
      <c r="E37" s="24" t="n">
        <f aca="false">E18/E$16</f>
        <v>0.14991857424937</v>
      </c>
      <c r="F37" s="24" t="n">
        <f aca="false">F18/F$16</f>
        <v>0.160335294728441</v>
      </c>
      <c r="G37" s="6"/>
      <c r="H37" s="25" t="s">
        <v>26</v>
      </c>
      <c r="I37" s="24" t="n">
        <f aca="false">I18/I$11</f>
        <v>0.0345395751650484</v>
      </c>
      <c r="J37" s="24" t="n">
        <f aca="false">J18/J$11</f>
        <v>-0.012406258913449</v>
      </c>
      <c r="K37" s="24" t="n">
        <f aca="false">K18/K$11</f>
        <v>0.0043525571273123</v>
      </c>
      <c r="L37" s="24" t="n">
        <f aca="false">L18/L$11</f>
        <v>0.00528359758501035</v>
      </c>
      <c r="M37" s="24" t="n">
        <f aca="false">M18/M$11</f>
        <v>0.00867241861872259</v>
      </c>
      <c r="N37" s="6"/>
      <c r="O37" s="25" t="s">
        <v>27</v>
      </c>
      <c r="P37" s="26" t="n">
        <f aca="false">P18/I$11</f>
        <v>-0.0572083770377475</v>
      </c>
      <c r="Q37" s="26" t="n">
        <f aca="false">Q18/J$11</f>
        <v>-0.086021356097914</v>
      </c>
      <c r="R37" s="26" t="n">
        <f aca="false">R18/K$11</f>
        <v>-0.0555860012067017</v>
      </c>
      <c r="S37" s="26" t="n">
        <f aca="false">S18/L$11</f>
        <v>-0.0396689835805689</v>
      </c>
      <c r="T37" s="26" t="n">
        <f aca="false">T18/M$11</f>
        <v>-0.0392200242999212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0.0550357768541422</v>
      </c>
      <c r="J38" s="24" t="n">
        <f aca="false">J19/J$11</f>
        <v>-0.0299222642074592</v>
      </c>
      <c r="K38" s="24" t="n">
        <f aca="false">K19/K$11</f>
        <v>0.019377046847953</v>
      </c>
      <c r="L38" s="24" t="n">
        <f aca="false">L19/L$11</f>
        <v>0.0217773393327546</v>
      </c>
      <c r="M38" s="24" t="n">
        <f aca="false">M19/M$11</f>
        <v>0.0248908364058766</v>
      </c>
      <c r="N38" s="6"/>
      <c r="O38" s="25" t="s">
        <v>30</v>
      </c>
      <c r="P38" s="26" t="n">
        <f aca="false">P19/I$11</f>
        <v>0.116657598585005</v>
      </c>
      <c r="Q38" s="26" t="n">
        <f aca="false">Q19/J$11</f>
        <v>-0.385486738470677</v>
      </c>
      <c r="R38" s="26" t="n">
        <f aca="false">R19/K$11</f>
        <v>-0.128907618819277</v>
      </c>
      <c r="S38" s="26" t="n">
        <f aca="false">S19/L$11</f>
        <v>-0.000113799458788441</v>
      </c>
      <c r="T38" s="26" t="n">
        <f aca="false">T19/M$11</f>
        <v>-0.0305868382437402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0.689551007323839</v>
      </c>
      <c r="C39" s="24" t="n">
        <f aca="false">C20/C$16</f>
        <v>0.645632213456687</v>
      </c>
      <c r="D39" s="24" t="n">
        <f aca="false">D20/D$16</f>
        <v>0.620552444417874</v>
      </c>
      <c r="E39" s="24" t="n">
        <f aca="false">E20/E$16</f>
        <v>0.698925031255581</v>
      </c>
      <c r="F39" s="24" t="n">
        <f aca="false">F20/F$16</f>
        <v>0.627504710973265</v>
      </c>
      <c r="G39" s="6"/>
      <c r="H39" s="25" t="s">
        <v>32</v>
      </c>
      <c r="I39" s="24" t="n">
        <f aca="false">I20/I$11</f>
        <v>0.341530131272168</v>
      </c>
      <c r="J39" s="24" t="n">
        <f aca="false">J20/J$11</f>
        <v>0.299965166556866</v>
      </c>
      <c r="K39" s="24" t="n">
        <f aca="false">K20/K$11</f>
        <v>0.247318843252614</v>
      </c>
      <c r="L39" s="24" t="n">
        <f aca="false">L20/L$11</f>
        <v>0.199906878297761</v>
      </c>
      <c r="M39" s="24" t="n">
        <f aca="false">M20/M$11</f>
        <v>0.132758542587149</v>
      </c>
      <c r="N39" s="6"/>
      <c r="O39" s="25" t="s">
        <v>33</v>
      </c>
      <c r="P39" s="26" t="n">
        <f aca="false">P20/I$11</f>
        <v>-0.0186970755904069</v>
      </c>
      <c r="Q39" s="26" t="n">
        <f aca="false">Q20/J$11</f>
        <v>-0.0126208127298566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e">
        <f aca="false">I21/I$11</f>
        <v>#VALUE!</v>
      </c>
      <c r="J40" s="24" t="e">
        <f aca="false">J21/J$11</f>
        <v>#VALUE!</v>
      </c>
      <c r="K40" s="24" t="e">
        <f aca="false">K21/K$11</f>
        <v>#VALUE!</v>
      </c>
      <c r="L40" s="24" t="e">
        <f aca="false">L21/L$11</f>
        <v>#VALUE!</v>
      </c>
      <c r="M40" s="24" t="n">
        <f aca="false">M21/M$11</f>
        <v>0</v>
      </c>
      <c r="N40" s="6"/>
      <c r="O40" s="25" t="s">
        <v>36</v>
      </c>
      <c r="P40" s="26" t="n">
        <f aca="false">P21/I$11</f>
        <v>-0.233582097924064</v>
      </c>
      <c r="Q40" s="26" t="n">
        <f aca="false">Q21/J$11</f>
        <v>-0.207260669424735</v>
      </c>
      <c r="R40" s="26" t="n">
        <f aca="false">R21/K$11</f>
        <v>-0.0108095967034386</v>
      </c>
      <c r="S40" s="26" t="n">
        <f aca="false">S21/L$11</f>
        <v>-0.204232693687038</v>
      </c>
      <c r="T40" s="26" t="n">
        <f aca="false">T21/M$11</f>
        <v>-0.174504415887813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0.341530131272168</v>
      </c>
      <c r="J41" s="24" t="n">
        <f aca="false">J22/J$11</f>
        <v>0.299965166556866</v>
      </c>
      <c r="K41" s="24" t="n">
        <f aca="false">K22/K$11</f>
        <v>0.247318843252614</v>
      </c>
      <c r="L41" s="24" t="n">
        <f aca="false">L22/L$11</f>
        <v>0.199906878297761</v>
      </c>
      <c r="M41" s="24" t="n">
        <f aca="false">M22/M$11</f>
        <v>0.132758542587149</v>
      </c>
      <c r="N41" s="6"/>
      <c r="O41" s="25" t="s">
        <v>38</v>
      </c>
      <c r="P41" s="26" t="n">
        <f aca="false">P22/I$11</f>
        <v>0.0397238067993785</v>
      </c>
      <c r="Q41" s="26" t="n">
        <f aca="false">Q22/J$11</f>
        <v>0.371894964548137</v>
      </c>
      <c r="R41" s="26" t="n">
        <f aca="false">R22/K$11</f>
        <v>0.179125707751609</v>
      </c>
      <c r="S41" s="26" t="n">
        <f aca="false">S22/L$11</f>
        <v>0.165958022718249</v>
      </c>
      <c r="T41" s="26" t="n">
        <f aca="false">T22/M$11</f>
        <v>0.192714796257618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0.286443872313931</v>
      </c>
      <c r="J42" s="24" t="n">
        <f aca="false">J23/J$11</f>
        <v>0.205042771934341</v>
      </c>
      <c r="K42" s="24" t="n">
        <f aca="false">K23/K$11</f>
        <v>0.13415993276195</v>
      </c>
      <c r="L42" s="24" t="n">
        <f aca="false">L23/L$11</f>
        <v>0.0903316410599935</v>
      </c>
      <c r="M42" s="24" t="n">
        <f aca="false">M23/M$11</f>
        <v>0.2007501913093</v>
      </c>
      <c r="N42" s="6"/>
      <c r="O42" s="25" t="s">
        <v>40</v>
      </c>
      <c r="P42" s="26" t="n">
        <f aca="false">P23/I$11</f>
        <v>0.211737837084902</v>
      </c>
      <c r="Q42" s="26" t="n">
        <f aca="false">Q23/J$11</f>
        <v>0.0357522383011376</v>
      </c>
      <c r="R42" s="26" t="n">
        <f aca="false">R23/K$11</f>
        <v>0.291137856444656</v>
      </c>
      <c r="S42" s="26" t="n">
        <f aca="false">S23/L$11</f>
        <v>0.195251511163476</v>
      </c>
      <c r="T42" s="26" t="n">
        <f aca="false">T23/M$11</f>
        <v>0.186978752938398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0.0341530131272168</v>
      </c>
      <c r="J43" s="24" t="n">
        <f aca="false">J24/J$11</f>
        <v>0.0299967270025654</v>
      </c>
      <c r="K43" s="24" t="n">
        <f aca="false">K24/K$11</f>
        <v>0.0247317855232685</v>
      </c>
      <c r="L43" s="24" t="n">
        <f aca="false">L24/L$11</f>
        <v>0.0199906519308932</v>
      </c>
      <c r="M43" s="24" t="n">
        <f aca="false">M24/M$11</f>
        <v>0.0132759755965372</v>
      </c>
      <c r="N43" s="6"/>
      <c r="O43" s="2" t="s">
        <v>49</v>
      </c>
      <c r="P43" s="26" t="n">
        <f aca="false">P24/I11</f>
        <v>0.364843982252736</v>
      </c>
      <c r="Q43" s="26" t="n">
        <f aca="false">Q24/J11</f>
        <v>0.355246850476183</v>
      </c>
      <c r="R43" s="26" t="n">
        <f aca="false">R24/K11</f>
        <v>0.307315365422464</v>
      </c>
      <c r="S43" s="26" t="n">
        <f aca="false">S24/L11</f>
        <v>0.273308965171622</v>
      </c>
      <c r="T43" s="26" t="n">
        <f aca="false">T24/M11</f>
        <v>0.238575235112254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0.232266758656279</v>
      </c>
      <c r="J44" s="24" t="n">
        <f aca="false">J25/J$11</f>
        <v>0.206975018363282</v>
      </c>
      <c r="K44" s="24" t="n">
        <f aca="false">K25/K$11</f>
        <v>0.189035547639686</v>
      </c>
      <c r="L44" s="24" t="n">
        <f aca="false">L25/L$11</f>
        <v>0.117744746018993</v>
      </c>
      <c r="M44" s="24" t="n">
        <f aca="false">M25/M$11</f>
        <v>0.123509769312532</v>
      </c>
      <c r="N44" s="6"/>
      <c r="O44" s="2" t="s">
        <v>50</v>
      </c>
      <c r="P44" s="26" t="n">
        <f aca="false">P24/B16</f>
        <v>0.177708509022292</v>
      </c>
      <c r="Q44" s="26" t="n">
        <f aca="false">Q24/C16</f>
        <v>0.217297859807882</v>
      </c>
      <c r="R44" s="26" t="n">
        <f aca="false">R24/D16</f>
        <v>0.243603777362921</v>
      </c>
      <c r="S44" s="26" t="n">
        <f aca="false">S24/E16</f>
        <v>0.236069561032724</v>
      </c>
      <c r="T44" s="26" t="n">
        <f aca="false">T24/F16</f>
        <v>0.181207962973317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0.165177444595891</v>
      </c>
      <c r="J45" s="24" t="n">
        <f aca="false">J26/J$11</f>
        <v>0.0102308514925794</v>
      </c>
      <c r="K45" s="24" t="n">
        <f aca="false">K26/K$11</f>
        <v>0.00719377310319934</v>
      </c>
      <c r="L45" s="24" t="n">
        <f aca="false">L26/L$11</f>
        <v>0.00626543203228602</v>
      </c>
      <c r="M45" s="24" t="n">
        <f aca="false">M26/M$11</f>
        <v>0.0949496771605008</v>
      </c>
      <c r="N45" s="6"/>
      <c r="O45" s="2" t="s">
        <v>51</v>
      </c>
      <c r="P45" s="26" t="n">
        <f aca="false">P24/B20</f>
        <v>0.257716263387073</v>
      </c>
      <c r="Q45" s="26" t="n">
        <f aca="false">Q24/C20</f>
        <v>0.336566012783778</v>
      </c>
      <c r="R45" s="26" t="n">
        <f aca="false">R24/D20</f>
        <v>0.392559532323557</v>
      </c>
      <c r="S45" s="26" t="n">
        <f aca="false">S24/E20</f>
        <v>0.337760919234267</v>
      </c>
      <c r="T45" s="26" t="n">
        <f aca="false">T24/F20</f>
        <v>0.288775462246748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0.196376787206713</v>
      </c>
      <c r="J46" s="24" t="n">
        <f aca="false">J27/J$11</f>
        <v>0.25780534163278</v>
      </c>
      <c r="K46" s="24" t="n">
        <f aca="false">K27/K$11</f>
        <v>0.160517669748411</v>
      </c>
      <c r="L46" s="24" t="n">
        <f aca="false">L27/L$11</f>
        <v>0.146237689375582</v>
      </c>
      <c r="M46" s="24" t="n">
        <f aca="false">M27/M$11</f>
        <v>0.101773311826878</v>
      </c>
      <c r="N46" s="6"/>
      <c r="O46" s="2" t="s">
        <v>52</v>
      </c>
      <c r="P46" s="26" t="n">
        <f aca="false">P24/I22</f>
        <v>1.0682629403553</v>
      </c>
      <c r="Q46" s="26" t="n">
        <f aca="false">Q24/J22</f>
        <v>1.18429367834227</v>
      </c>
      <c r="R46" s="26" t="n">
        <f aca="false">R24/K22</f>
        <v>1.24258775183001</v>
      </c>
      <c r="S46" s="26" t="n">
        <f aca="false">S24/L22</f>
        <v>1.36718139715297</v>
      </c>
      <c r="T46" s="26" t="n">
        <f aca="false">T24/M22</f>
        <v>1.79706126975326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0.572424176642974</v>
      </c>
      <c r="Q47" s="26" t="n">
        <f aca="false">Q24/(C22-C20)</f>
        <v>0.61319868244097</v>
      </c>
      <c r="R47" s="26" t="n">
        <f aca="false">R24/(D22-D20)</f>
        <v>0.641995906362338</v>
      </c>
      <c r="S47" s="26" t="n">
        <f aca="false">S24/(E22-E20)</f>
        <v>0.784088966336895</v>
      </c>
      <c r="T47" s="26" t="n">
        <f aca="false">T24/(F22-F20)</f>
        <v>0.486470482477192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1.57079723488393</v>
      </c>
      <c r="Q48" s="26" t="n">
        <f aca="false">Q24/J25</f>
        <v>1.71637549925303</v>
      </c>
      <c r="R48" s="26" t="n">
        <f aca="false">R24/K25</f>
        <v>1.62570145805712</v>
      </c>
      <c r="S48" s="26" t="n">
        <f aca="false">S24/L25</f>
        <v>2.3211988170371</v>
      </c>
      <c r="T48" s="26" t="n">
        <f aca="false">T24/M25</f>
        <v>1.93163048105577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6.37745730860364</v>
      </c>
      <c r="Q49" s="26" t="n">
        <f aca="false">Q24/(Q18*-1)</f>
        <v>4.12975180339895</v>
      </c>
      <c r="R49" s="26" t="n">
        <f aca="false">R24/(R18*-1)</f>
        <v>5.52864675909468</v>
      </c>
      <c r="S49" s="26" t="n">
        <f aca="false">S24/(S18*-1)</f>
        <v>6.8897395522253</v>
      </c>
      <c r="T49" s="26" t="n">
        <f aca="false">T24/(T18*-1)</f>
        <v>6.08299559653085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-0.0338403848209474</v>
      </c>
      <c r="J50" s="28" t="n">
        <f aca="false">LN(J13/K13)</f>
        <v>0.00436710100822506</v>
      </c>
      <c r="K50" s="28" t="n">
        <f aca="false">LN(K13/L13)</f>
        <v>0.244401317202228</v>
      </c>
      <c r="L50" s="28" t="n">
        <f aca="false">LN(L13/M13)</f>
        <v>0.458701317607902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3.20828747299336</v>
      </c>
      <c r="C51" s="30" t="n">
        <f aca="false">C11/C17</f>
        <v>1.16109079990816</v>
      </c>
      <c r="D51" s="30" t="n">
        <f aca="false">D11/D17</f>
        <v>3.8668204806943</v>
      </c>
      <c r="E51" s="30" t="n">
        <f aca="false">E11/E17</f>
        <v>1.69984184063855</v>
      </c>
      <c r="F51" s="30" t="n">
        <f aca="false">F11/F17</f>
        <v>1.10926766828455</v>
      </c>
      <c r="H51" s="29" t="s">
        <v>58</v>
      </c>
      <c r="I51" s="46" t="n">
        <f aca="false">I13/I11</f>
        <v>0.354337160624707</v>
      </c>
      <c r="J51" s="46" t="n">
        <f aca="false">J13/J11</f>
        <v>0.329887430764325</v>
      </c>
      <c r="K51" s="46" t="n">
        <f aca="false">K13/K11</f>
        <v>0.257126917088002</v>
      </c>
      <c r="L51" s="46" t="n">
        <f aca="false">L13/L11</f>
        <v>0.219503719483257</v>
      </c>
      <c r="M51" s="46" t="n">
        <f aca="false">M13/M11</f>
        <v>0.156323561054765</v>
      </c>
      <c r="O51" s="2" t="s">
        <v>59</v>
      </c>
      <c r="P51" s="32" t="n">
        <f aca="false">(P11-P24-P25)/B16</f>
        <v>-0.0403123059073382</v>
      </c>
      <c r="Q51" s="32" t="n">
        <f aca="false">(Q11-Q24-Q25)/C16</f>
        <v>0.254597917218319</v>
      </c>
      <c r="R51" s="32" t="n">
        <f aca="false">(R11-R24-R25)/D16</f>
        <v>0.0986867782116344</v>
      </c>
      <c r="S51" s="32" t="n">
        <f aca="false">(S11-S24-S25)/E16</f>
        <v>-0.029038543589133</v>
      </c>
      <c r="T51" s="32" t="n">
        <f aca="false">(T11-T24-T25)/F16</f>
        <v>-0.027350986094104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0.166352779179242</v>
      </c>
      <c r="C52" s="31" t="n">
        <f aca="false">J20/C16</f>
        <v>0.183483086823571</v>
      </c>
      <c r="D52" s="31" t="n">
        <f aca="false">K20/D16</f>
        <v>0.196045532401358</v>
      </c>
      <c r="E52" s="31" t="n">
        <f aca="false">L20/E16</f>
        <v>0.172668792542319</v>
      </c>
      <c r="F52" s="31" t="n">
        <f aca="false">M20/F16</f>
        <v>0.100835717748342</v>
      </c>
      <c r="G52" s="31"/>
      <c r="H52" s="29" t="s">
        <v>61</v>
      </c>
      <c r="I52" s="46" t="n">
        <f aca="false">I16/I11</f>
        <v>0.0204962016890938</v>
      </c>
      <c r="J52" s="46" t="n">
        <f aca="false">J16/J11</f>
        <v>-0.0175160052940102</v>
      </c>
      <c r="K52" s="46" t="n">
        <f aca="false">K16/K11</f>
        <v>0.0150244897206407</v>
      </c>
      <c r="L52" s="46" t="n">
        <f aca="false">L16/L11</f>
        <v>0.0164937417477443</v>
      </c>
      <c r="M52" s="46" t="n">
        <f aca="false">M16/M11</f>
        <v>0.016218417787154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0.241247967753481</v>
      </c>
      <c r="C53" s="31" t="n">
        <f aca="false">J20/C20</f>
        <v>0.284191344544614</v>
      </c>
      <c r="D53" s="31" t="n">
        <f aca="false">K20/D20</f>
        <v>0.315920973585503</v>
      </c>
      <c r="E53" s="31" t="n">
        <f aca="false">L20/E20</f>
        <v>0.247049089416827</v>
      </c>
      <c r="F53" s="31" t="n">
        <f aca="false">M20/F20</f>
        <v>0.160693164505403</v>
      </c>
      <c r="H53" s="29" t="s">
        <v>11</v>
      </c>
      <c r="I53" s="46" t="e">
        <f aca="false">I17/I11</f>
        <v>#VALUE!</v>
      </c>
      <c r="J53" s="46" t="e">
        <f aca="false">J17/J11</f>
        <v>#VALUE!</v>
      </c>
      <c r="K53" s="46" t="e">
        <f aca="false">K17/K11</f>
        <v>#VALUE!</v>
      </c>
      <c r="L53" s="46" t="e">
        <f aca="false">L17/L11</f>
        <v>#VALUE!</v>
      </c>
      <c r="M53" s="46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18.3345931353644</v>
      </c>
      <c r="C54" s="30" t="n">
        <f aca="false">J11/C12</f>
        <v>19.1246832031281</v>
      </c>
      <c r="D54" s="30" t="n">
        <f aca="false">K11/D12</f>
        <v>24.6163375166196</v>
      </c>
      <c r="E54" s="30" t="n">
        <f aca="false">L11/E12</f>
        <v>19.1852474258755</v>
      </c>
      <c r="F54" s="30" t="n">
        <f aca="false">M11/F12</f>
        <v>17.5664023645096</v>
      </c>
      <c r="H54" s="29" t="s">
        <v>64</v>
      </c>
      <c r="I54" s="46" t="n">
        <f aca="false">I25/I22</f>
        <v>0.680076916760189</v>
      </c>
      <c r="J54" s="46" t="n">
        <f aca="false">J25/J22</f>
        <v>0.68999684443042</v>
      </c>
      <c r="K54" s="46" t="n">
        <f aca="false">K25/K22</f>
        <v>0.764339446010603</v>
      </c>
      <c r="L54" s="46" t="n">
        <f aca="false">L25/L22</f>
        <v>0.588997972564069</v>
      </c>
      <c r="M54" s="46" t="n">
        <f aca="false">M25/M22</f>
        <v>0.930333874608895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0.310448992676161</v>
      </c>
      <c r="C55" s="31" t="n">
        <f aca="false">(C22-C20)/C16</f>
        <v>0.354367786543313</v>
      </c>
      <c r="D55" s="31" t="n">
        <f aca="false">(D22-D20)/D16</f>
        <v>0.379447555582126</v>
      </c>
      <c r="E55" s="31" t="n">
        <f aca="false">(E22-E20)/E16</f>
        <v>0.301074968744419</v>
      </c>
      <c r="F55" s="31" t="n">
        <f aca="false">(F22-F20)/F16</f>
        <v>0.372495289026735</v>
      </c>
      <c r="H55" s="29" t="s">
        <v>66</v>
      </c>
      <c r="I55" s="46" t="n">
        <f aca="false">I22/I11</f>
        <v>0.341530131272168</v>
      </c>
      <c r="J55" s="46" t="n">
        <f aca="false">J22/J11</f>
        <v>0.299965166556866</v>
      </c>
      <c r="K55" s="46" t="n">
        <f aca="false">K22/K11</f>
        <v>0.247318843252614</v>
      </c>
      <c r="L55" s="46" t="n">
        <f aca="false">L22/L11</f>
        <v>0.199906878297761</v>
      </c>
      <c r="M55" s="46" t="n">
        <f aca="false">M22/M11</f>
        <v>0.132758542587149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0.450219040185322</v>
      </c>
      <c r="C56" s="31" t="n">
        <f aca="false">(C22-C20)/C20</f>
        <v>0.548869432406482</v>
      </c>
      <c r="D56" s="31" t="n">
        <f aca="false">(D22-D20)/D20</f>
        <v>0.611467344936618</v>
      </c>
      <c r="E56" s="31" t="n">
        <f aca="false">(E22-E20)/E20</f>
        <v>0.430768616490318</v>
      </c>
      <c r="F56" s="31" t="n">
        <f aca="false">(F22-F20)/F20</f>
        <v>0.59361353391115</v>
      </c>
      <c r="H56" s="33" t="s">
        <v>68</v>
      </c>
      <c r="I56" s="34" t="n">
        <f aca="false">I13/B16</f>
        <v>0.172590837642456</v>
      </c>
      <c r="J56" s="34" t="n">
        <f aca="false">J13/C16</f>
        <v>0.201785976670931</v>
      </c>
      <c r="K56" s="34" t="n">
        <f aca="false">K13/D16</f>
        <v>0.203820229353691</v>
      </c>
      <c r="L56" s="34" t="n">
        <f aca="false">L13/E16</f>
        <v>0.189595488281638</v>
      </c>
      <c r="M56" s="34" t="n">
        <f aca="false">M13/F16</f>
        <v>0.118734344116398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0.487080828152976</v>
      </c>
      <c r="C57" s="30" t="n">
        <f aca="false">J11/C16</f>
        <v>0.611681312632638</v>
      </c>
      <c r="D57" s="30" t="n">
        <f aca="false">K11/D16</f>
        <v>0.792683362994364</v>
      </c>
      <c r="E57" s="30" t="n">
        <f aca="false">L11/E16</f>
        <v>0.863746130261356</v>
      </c>
      <c r="F57" s="30" t="n">
        <f aca="false">M11/F16</f>
        <v>0.759542216894622</v>
      </c>
      <c r="H57" s="33" t="s">
        <v>70</v>
      </c>
      <c r="I57" s="35" t="n">
        <f aca="false">I25/$C$5</f>
        <v>0.0542780283707755</v>
      </c>
      <c r="J57" s="35" t="n">
        <f aca="false">J25/$C$5</f>
        <v>0.0537406059266781</v>
      </c>
      <c r="K57" s="35" t="n">
        <f aca="false">K25/$C$5</f>
        <v>0.0626974281972265</v>
      </c>
      <c r="L57" s="35" t="n">
        <f aca="false">L25/$C$5</f>
        <v>0.0358270706177854</v>
      </c>
      <c r="M57" s="35" t="n">
        <f aca="false">M25/$C$5</f>
        <v>0.0333562381613864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1.45021904018532</v>
      </c>
      <c r="C58" s="30" t="n">
        <f aca="false">C16/C20</f>
        <v>1.54886943240648</v>
      </c>
      <c r="D58" s="30" t="n">
        <f aca="false">D16/D20</f>
        <v>1.61146734493662</v>
      </c>
      <c r="E58" s="30" t="n">
        <f aca="false">E16/E20</f>
        <v>1.43076861649032</v>
      </c>
      <c r="F58" s="30" t="n">
        <f aca="false">F16/F20</f>
        <v>1.59361353391115</v>
      </c>
      <c r="H58" s="25" t="s">
        <v>72</v>
      </c>
      <c r="I58" s="37" t="n">
        <f aca="false">I22/$C$7/1000</f>
        <v>3.71523002376911</v>
      </c>
      <c r="J58" s="37" t="n">
        <f aca="false">J22/$C$7/1000</f>
        <v>3.62556029849447</v>
      </c>
      <c r="K58" s="37" t="n">
        <f aca="false">K22/$C$7/1000</f>
        <v>3.81841503851242</v>
      </c>
      <c r="L58" s="37" t="n">
        <f aca="false">L22/$C$7/1000</f>
        <v>2.83150399127651</v>
      </c>
      <c r="M58" s="37" t="n">
        <f aca="false">M22/$C$7/1000</f>
        <v>1.66900604564627</v>
      </c>
      <c r="O58" s="6"/>
    </row>
    <row r="59" customFormat="false" ht="15" hidden="false" customHeight="false" outlineLevel="0" collapsed="false">
      <c r="H59" s="25" t="s">
        <v>73</v>
      </c>
      <c r="I59" s="37" t="n">
        <f aca="false">B20/$C$7/1000</f>
        <v>15.4000469241901</v>
      </c>
      <c r="J59" s="37" t="n">
        <f aca="false">C20/$C$7/1000</f>
        <v>12.757462069452</v>
      </c>
      <c r="K59" s="37" t="n">
        <f aca="false">D20/$C$7/1000</f>
        <v>12.0866145579885</v>
      </c>
      <c r="L59" s="37" t="n">
        <f aca="false">E20/$C$7/1000</f>
        <v>11.4613010635272</v>
      </c>
      <c r="M59" s="37" t="n">
        <f aca="false">F20/$C$7/1000</f>
        <v>10.386291481553</v>
      </c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35.8793969536083</v>
      </c>
      <c r="J60" s="38" t="n">
        <f aca="false">SQRT(22.5*J58*J59)</f>
        <v>32.2597478251531</v>
      </c>
      <c r="K60" s="38" t="n">
        <f aca="false">SQRT(22.5*K58*K59)</f>
        <v>32.2244238558402</v>
      </c>
      <c r="L60" s="38" t="n">
        <f aca="false">SQRT(22.5*L58*L59)</f>
        <v>27.0219576159551</v>
      </c>
      <c r="M60" s="38" t="n">
        <f aca="false">SQRT(22.5*M58*M59)</f>
        <v>19.7492436229218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2.4832262698339</v>
      </c>
      <c r="J61" s="39" t="n">
        <f aca="false">J58-(C20*0.08/1000/$C$7)</f>
        <v>2.60496333293832</v>
      </c>
      <c r="K61" s="39" t="n">
        <f aca="false">K58-(D20*0.08/1000/$C$7)</f>
        <v>2.85148587387335</v>
      </c>
      <c r="L61" s="39" t="n">
        <f aca="false">L58-(E20*0.08/1000/$C$7)</f>
        <v>1.91459990619433</v>
      </c>
      <c r="M61" s="39" t="n">
        <f aca="false">M58-(F20*0.08/1000/$C$7)</f>
        <v>0.838102727122024</v>
      </c>
      <c r="O61" s="6"/>
    </row>
    <row r="62" customFormat="false" ht="15" hidden="false" customHeight="false" outlineLevel="0" collapsed="false">
      <c r="H62" s="2" t="s">
        <v>76</v>
      </c>
      <c r="I62" s="41" t="n">
        <f aca="false">I25/B7/1000</f>
        <v>2.52664217961978</v>
      </c>
      <c r="J62" s="41" t="n">
        <f aca="false">J25/$C$7/1000</f>
        <v>2.5016251652534</v>
      </c>
      <c r="K62" s="41" t="n">
        <f aca="false">K25/$C$7/1000</f>
        <v>2.91856523517514</v>
      </c>
      <c r="L62" s="41" t="n">
        <f aca="false">L25/$C$7/1000</f>
        <v>1.66775011016893</v>
      </c>
      <c r="M62" s="41" t="n">
        <f aca="false">M25/$C$7/1000</f>
        <v>1.55273286119176</v>
      </c>
      <c r="O62" s="6"/>
    </row>
    <row r="63" customFormat="false" ht="15" hidden="false" customHeight="false" outlineLevel="0" collapsed="false">
      <c r="A63" s="2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7.08794051059747</v>
      </c>
      <c r="O64" s="6"/>
    </row>
    <row r="65" customFormat="false" ht="15" hidden="false" customHeight="false" outlineLevel="0" collapsed="false">
      <c r="O65" s="6"/>
    </row>
    <row r="66" customFormat="false" ht="15" hidden="false" customHeight="false" outlineLevel="0" collapsed="false">
      <c r="O66" s="6"/>
    </row>
    <row r="67" customFormat="false" ht="15" hidden="false" customHeight="false" outlineLevel="0" collapsed="false">
      <c r="O67" s="6"/>
    </row>
    <row r="68" customFormat="false" ht="15" hidden="false" customHeight="false" outlineLevel="0" collapsed="false">
      <c r="O68" s="6"/>
    </row>
    <row r="69" customFormat="false" ht="15" hidden="false" customHeight="false" outlineLevel="0" collapsed="false">
      <c r="O69" s="6"/>
    </row>
    <row r="70" customFormat="false" ht="15" hidden="false" customHeight="false" outlineLevel="0" collapsed="false">
      <c r="O70" s="6"/>
    </row>
    <row r="71" customFormat="false" ht="15" hidden="false" customHeight="false" outlineLevel="0" collapsed="false">
      <c r="O71" s="6"/>
    </row>
    <row r="72" customFormat="false" ht="15" hidden="false" customHeight="false" outlineLevel="0" collapsed="false">
      <c r="O72" s="6"/>
    </row>
    <row r="73" customFormat="false" ht="15" hidden="false" customHeight="false" outlineLevel="0" collapsed="false"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0.000274059339992895</v>
      </c>
      <c r="K74" s="6" t="n">
        <f aca="false">K59*$C$7/$C$5</f>
        <v>0.00025964800761137</v>
      </c>
      <c r="L74" s="6" t="n">
        <f aca="false">L59*$C$7/$C$5</f>
        <v>0.000246214849617425</v>
      </c>
      <c r="M74" s="6" t="n">
        <f aca="false">M59*$C$7/$C$5</f>
        <v>0.000223121195494217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e">
        <f aca="false">(J15-J16)/$C$6</f>
        <v>#VALUE!</v>
      </c>
      <c r="K77" s="28" t="e">
        <f aca="false">(K15-K16)/$C$6</f>
        <v>#VALUE!</v>
      </c>
      <c r="L77" s="28" t="e">
        <f aca="false">(L15-L16)/$C$6</f>
        <v>#VALUE!</v>
      </c>
      <c r="M77" s="28" t="e">
        <f aca="false">(M15-M16)/$C$6</f>
        <v>#VALUE!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/>
      <c r="C1" s="1" t="n">
        <v>4031</v>
      </c>
      <c r="H1" s="6"/>
      <c r="O1" s="6"/>
    </row>
    <row r="2" customFormat="false" ht="15" hidden="false" customHeight="false" outlineLevel="0" collapsed="false">
      <c r="A2" s="2"/>
      <c r="C2" s="0" t="str">
        <f aca="false">IFERROR(__xludf.dummyfunction("GoogleFinance(""TADAWUL:""&amp;C1,""eps"")"),"2.88")</f>
        <v>2.88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82"/>
      <c r="C5" s="3" t="str">
        <f aca="false">IFERROR(__xludf.dummyfunction("GoogleFinance(""TADAWUL:""&amp;C1,""marketcap"")/1000"),"7,484,282.68")</f>
        <v>7,484,282.68</v>
      </c>
      <c r="H5" s="6"/>
      <c r="O5" s="6"/>
    </row>
    <row r="6" customFormat="false" ht="15" hidden="false" customHeight="false" outlineLevel="0" collapsed="false">
      <c r="A6" s="2" t="s">
        <v>1</v>
      </c>
      <c r="B6" s="4"/>
      <c r="C6" s="4" t="n">
        <f aca="false">C5*1000+(C22-C20)-Q23</f>
        <v>7484048675</v>
      </c>
      <c r="H6" s="6"/>
      <c r="O6" s="6"/>
    </row>
    <row r="7" customFormat="false" ht="15" hidden="false" customHeight="false" outlineLevel="0" collapsed="false">
      <c r="A7" s="2" t="s">
        <v>2</v>
      </c>
      <c r="B7" s="5"/>
      <c r="C7" s="5" t="str">
        <f aca="false">IFERROR(__xludf.dummyfunction("GoogleFinance(""TADAWUL:""&amp;C1,""shares"")/1000000"),"188.047307")</f>
        <v>188.047307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1887789</v>
      </c>
      <c r="C11" s="11" t="n">
        <v>1765483</v>
      </c>
      <c r="D11" s="11" t="n">
        <v>1348944</v>
      </c>
      <c r="E11" s="11" t="n">
        <v>1061405</v>
      </c>
      <c r="F11" s="56" t="n">
        <v>1317399</v>
      </c>
      <c r="H11" s="10" t="s">
        <v>7</v>
      </c>
      <c r="I11" s="11" t="n">
        <v>2726673</v>
      </c>
      <c r="J11" s="11" t="n">
        <v>2540512</v>
      </c>
      <c r="K11" s="11" t="n">
        <v>2408026</v>
      </c>
      <c r="L11" s="11" t="n">
        <v>2143849</v>
      </c>
      <c r="M11" s="56" t="n">
        <v>2007121</v>
      </c>
      <c r="O11" s="10" t="s">
        <v>8</v>
      </c>
      <c r="P11" s="11" t="n">
        <v>719961</v>
      </c>
      <c r="Q11" s="11" t="n">
        <v>644385</v>
      </c>
      <c r="R11" s="11" t="n">
        <v>674574</v>
      </c>
      <c r="S11" s="11" t="n">
        <v>627230</v>
      </c>
      <c r="T11" s="56" t="n">
        <v>603788</v>
      </c>
    </row>
    <row r="12" customFormat="false" ht="15" hidden="false" customHeight="false" outlineLevel="0" collapsed="false">
      <c r="A12" s="10" t="s">
        <v>9</v>
      </c>
      <c r="B12" s="18"/>
      <c r="C12" s="11" t="n">
        <v>289</v>
      </c>
      <c r="D12" s="11" t="n">
        <v>946</v>
      </c>
      <c r="E12" s="11" t="n">
        <v>2206</v>
      </c>
      <c r="F12" s="56" t="n">
        <v>2655</v>
      </c>
      <c r="H12" s="10" t="s">
        <v>10</v>
      </c>
      <c r="I12" s="11" t="n">
        <v>1714508</v>
      </c>
      <c r="J12" s="11" t="n">
        <v>1611791</v>
      </c>
      <c r="K12" s="11" t="n">
        <v>1526293</v>
      </c>
      <c r="L12" s="11" t="n">
        <v>1307376</v>
      </c>
      <c r="M12" s="56" t="n">
        <v>1173890</v>
      </c>
      <c r="O12" s="10" t="s">
        <v>11</v>
      </c>
      <c r="P12" s="11" t="n">
        <v>96222</v>
      </c>
      <c r="Q12" s="11" t="n">
        <v>97733</v>
      </c>
      <c r="R12" s="11" t="n">
        <v>79201</v>
      </c>
      <c r="S12" s="11" t="n">
        <v>67032</v>
      </c>
      <c r="T12" s="56" t="n">
        <v>55299</v>
      </c>
    </row>
    <row r="13" customFormat="false" ht="15" hidden="false" customHeight="false" outlineLevel="0" collapsed="false">
      <c r="A13" s="10" t="s">
        <v>12</v>
      </c>
      <c r="B13" s="11" t="n">
        <v>553143</v>
      </c>
      <c r="C13" s="11" t="n">
        <v>76201</v>
      </c>
      <c r="D13" s="11" t="n">
        <v>66579</v>
      </c>
      <c r="E13" s="18"/>
      <c r="F13" s="57"/>
      <c r="H13" s="10" t="s">
        <v>13</v>
      </c>
      <c r="I13" s="11" t="n">
        <v>1012165</v>
      </c>
      <c r="J13" s="11" t="n">
        <v>928721</v>
      </c>
      <c r="K13" s="11" t="n">
        <v>881733</v>
      </c>
      <c r="L13" s="11" t="n">
        <v>836473</v>
      </c>
      <c r="M13" s="56" t="n">
        <v>833231</v>
      </c>
      <c r="O13" s="10" t="s">
        <v>14</v>
      </c>
      <c r="P13" s="13" t="n">
        <v>-262282</v>
      </c>
      <c r="Q13" s="13" t="n">
        <v>-94671</v>
      </c>
      <c r="R13" s="13" t="n">
        <v>-190213</v>
      </c>
      <c r="S13" s="13" t="n">
        <v>-267307</v>
      </c>
      <c r="T13" s="58" t="n">
        <v>-215686</v>
      </c>
    </row>
    <row r="14" customFormat="false" ht="15" hidden="false" customHeight="false" outlineLevel="0" collapsed="false">
      <c r="A14" s="10" t="s">
        <v>15</v>
      </c>
      <c r="B14" s="11" t="n">
        <v>479573</v>
      </c>
      <c r="C14" s="11" t="n">
        <v>473140</v>
      </c>
      <c r="D14" s="11" t="n">
        <v>543196</v>
      </c>
      <c r="E14" s="11" t="n">
        <v>532257</v>
      </c>
      <c r="F14" s="56" t="n">
        <v>448022</v>
      </c>
      <c r="H14" s="10" t="s">
        <v>16</v>
      </c>
      <c r="I14" s="11" t="n">
        <v>45888</v>
      </c>
      <c r="J14" s="11" t="n">
        <v>49822</v>
      </c>
      <c r="K14" s="11" t="n">
        <v>49121</v>
      </c>
      <c r="L14" s="11" t="n">
        <v>2356</v>
      </c>
      <c r="M14" s="56" t="n">
        <v>2453</v>
      </c>
      <c r="O14" s="10" t="s">
        <v>9</v>
      </c>
      <c r="P14" s="18"/>
      <c r="Q14" s="11" t="n">
        <v>657</v>
      </c>
      <c r="R14" s="11" t="n">
        <v>1260</v>
      </c>
      <c r="S14" s="11" t="n">
        <v>450</v>
      </c>
      <c r="T14" s="56" t="n">
        <v>2787</v>
      </c>
    </row>
    <row r="15" customFormat="false" ht="15" hidden="false" customHeight="false" outlineLevel="0" collapsed="false">
      <c r="A15" s="10" t="s">
        <v>17</v>
      </c>
      <c r="B15" s="11" t="n">
        <v>910748</v>
      </c>
      <c r="C15" s="11" t="n">
        <v>934172</v>
      </c>
      <c r="D15" s="11" t="n">
        <v>985914</v>
      </c>
      <c r="E15" s="11" t="n">
        <v>1037657</v>
      </c>
      <c r="F15" s="56" t="n">
        <v>1093261</v>
      </c>
      <c r="H15" s="10" t="s">
        <v>18</v>
      </c>
      <c r="I15" s="11" t="n">
        <v>1058053</v>
      </c>
      <c r="J15" s="11" t="n">
        <v>978543</v>
      </c>
      <c r="K15" s="11" t="n">
        <v>930854</v>
      </c>
      <c r="L15" s="11" t="n">
        <v>838829</v>
      </c>
      <c r="M15" s="56" t="n">
        <v>835684</v>
      </c>
      <c r="O15" s="10" t="s">
        <v>19</v>
      </c>
      <c r="P15" s="13" t="n">
        <v>-136548</v>
      </c>
      <c r="Q15" s="13" t="n">
        <v>-61850</v>
      </c>
      <c r="R15" s="13" t="n">
        <v>-13422</v>
      </c>
      <c r="S15" s="13" t="n">
        <v>-19305</v>
      </c>
      <c r="T15" s="58" t="n">
        <v>-35451</v>
      </c>
    </row>
    <row r="16" customFormat="false" ht="15" hidden="false" customHeight="false" outlineLevel="0" collapsed="false">
      <c r="A16" s="10" t="s">
        <v>20</v>
      </c>
      <c r="B16" s="11" t="n">
        <v>3831253</v>
      </c>
      <c r="C16" s="11" t="n">
        <v>3249285</v>
      </c>
      <c r="D16" s="11" t="n">
        <v>2945579</v>
      </c>
      <c r="E16" s="11" t="n">
        <v>2633525</v>
      </c>
      <c r="F16" s="56" t="n">
        <v>2861337</v>
      </c>
      <c r="H16" s="10" t="s">
        <v>21</v>
      </c>
      <c r="I16" s="11" t="n">
        <v>240207</v>
      </c>
      <c r="J16" s="11" t="n">
        <v>235357</v>
      </c>
      <c r="K16" s="11" t="n">
        <v>175877</v>
      </c>
      <c r="L16" s="11" t="n">
        <v>142675</v>
      </c>
      <c r="M16" s="56" t="n">
        <v>173341</v>
      </c>
      <c r="O16" s="10" t="s">
        <v>22</v>
      </c>
      <c r="P16" s="13" t="n">
        <v>-23558</v>
      </c>
      <c r="Q16" s="11" t="n">
        <v>21086</v>
      </c>
      <c r="R16" s="13" t="n">
        <v>-17952</v>
      </c>
      <c r="S16" s="13" t="n">
        <v>-90366</v>
      </c>
      <c r="T16" s="56" t="n">
        <v>56139</v>
      </c>
    </row>
    <row r="17" customFormat="false" ht="15" hidden="false" customHeight="false" outlineLevel="0" collapsed="false">
      <c r="A17" s="10" t="s">
        <v>23</v>
      </c>
      <c r="B17" s="11" t="n">
        <v>465477</v>
      </c>
      <c r="C17" s="11" t="n">
        <v>280165</v>
      </c>
      <c r="D17" s="11" t="n">
        <v>238747</v>
      </c>
      <c r="E17" s="11" t="n">
        <v>292027</v>
      </c>
      <c r="F17" s="56" t="n">
        <v>352886</v>
      </c>
      <c r="H17" s="10" t="s">
        <v>11</v>
      </c>
      <c r="I17" s="11" t="n">
        <v>96222</v>
      </c>
      <c r="J17" s="11" t="n">
        <v>97733</v>
      </c>
      <c r="K17" s="11" t="n">
        <v>79201</v>
      </c>
      <c r="L17" s="11" t="n">
        <v>67032</v>
      </c>
      <c r="M17" s="56" t="n">
        <v>55299</v>
      </c>
      <c r="O17" s="10" t="s">
        <v>24</v>
      </c>
      <c r="P17" s="11" t="n">
        <v>222255</v>
      </c>
      <c r="Q17" s="11" t="n">
        <v>57730</v>
      </c>
      <c r="R17" s="11" t="n">
        <v>28392</v>
      </c>
      <c r="S17" s="11" t="n">
        <v>105199</v>
      </c>
      <c r="T17" s="56" t="n">
        <v>74583</v>
      </c>
    </row>
    <row r="18" customFormat="false" ht="15" hidden="false" customHeight="false" outlineLevel="0" collapsed="false">
      <c r="A18" s="10" t="s">
        <v>25</v>
      </c>
      <c r="B18" s="11" t="n">
        <v>316376</v>
      </c>
      <c r="C18" s="11" t="n">
        <v>265268</v>
      </c>
      <c r="D18" s="11" t="n">
        <v>222256</v>
      </c>
      <c r="E18" s="11" t="n">
        <v>183908</v>
      </c>
      <c r="F18" s="56" t="n">
        <v>157275</v>
      </c>
      <c r="H18" s="10" t="s">
        <v>26</v>
      </c>
      <c r="I18" s="11" t="n">
        <v>1663</v>
      </c>
      <c r="J18" s="11" t="n">
        <v>1068</v>
      </c>
      <c r="K18" s="11" t="n">
        <v>1200</v>
      </c>
      <c r="L18" s="11" t="n">
        <v>1892</v>
      </c>
      <c r="M18" s="56" t="n">
        <v>3256</v>
      </c>
      <c r="O18" s="10" t="s">
        <v>27</v>
      </c>
      <c r="P18" s="13" t="n">
        <v>-102689</v>
      </c>
      <c r="Q18" s="13" t="n">
        <v>-29993</v>
      </c>
      <c r="R18" s="13" t="n">
        <v>-127083</v>
      </c>
      <c r="S18" s="13" t="n">
        <v>-151284</v>
      </c>
      <c r="T18" s="58" t="n">
        <v>-132132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7"/>
      <c r="H19" s="10" t="s">
        <v>29</v>
      </c>
      <c r="I19" s="11" t="n">
        <v>338092</v>
      </c>
      <c r="J19" s="11" t="n">
        <v>334158</v>
      </c>
      <c r="K19" s="11" t="n">
        <v>256278</v>
      </c>
      <c r="L19" s="11" t="n">
        <v>211599</v>
      </c>
      <c r="M19" s="56" t="n">
        <v>231896</v>
      </c>
      <c r="O19" s="10" t="s">
        <v>30</v>
      </c>
      <c r="P19" s="13" t="n">
        <v>-854715</v>
      </c>
      <c r="Q19" s="11" t="n">
        <v>26737</v>
      </c>
      <c r="R19" s="11" t="n">
        <v>211</v>
      </c>
      <c r="S19" s="11" t="n">
        <v>1663</v>
      </c>
      <c r="T19" s="57"/>
    </row>
    <row r="20" customFormat="false" ht="15" hidden="false" customHeight="false" outlineLevel="0" collapsed="false">
      <c r="A20" s="10" t="s">
        <v>31</v>
      </c>
      <c r="B20" s="11" t="n">
        <v>3049400</v>
      </c>
      <c r="C20" s="11" t="n">
        <v>2703852</v>
      </c>
      <c r="D20" s="11" t="n">
        <v>2484576</v>
      </c>
      <c r="E20" s="11" t="n">
        <v>2157590</v>
      </c>
      <c r="F20" s="56" t="n">
        <v>2351176</v>
      </c>
      <c r="H20" s="10" t="s">
        <v>32</v>
      </c>
      <c r="I20" s="11" t="n">
        <v>719961</v>
      </c>
      <c r="J20" s="11" t="n">
        <v>644385</v>
      </c>
      <c r="K20" s="11" t="n">
        <v>674576</v>
      </c>
      <c r="L20" s="11" t="n">
        <v>627230</v>
      </c>
      <c r="M20" s="56" t="n">
        <v>603788</v>
      </c>
      <c r="O20" s="10" t="s">
        <v>33</v>
      </c>
      <c r="P20" s="18"/>
      <c r="Q20" s="18"/>
      <c r="R20" s="18"/>
      <c r="S20" s="18"/>
      <c r="T20" s="57"/>
    </row>
    <row r="21" customFormat="false" ht="15" hidden="false" customHeight="false" outlineLevel="0" collapsed="false">
      <c r="A21" s="10" t="s">
        <v>34</v>
      </c>
      <c r="B21" s="18"/>
      <c r="C21" s="18"/>
      <c r="D21" s="18"/>
      <c r="E21" s="18"/>
      <c r="F21" s="59"/>
      <c r="H21" s="10" t="s">
        <v>35</v>
      </c>
      <c r="I21" s="11" t="n">
        <v>34132</v>
      </c>
      <c r="J21" s="11" t="n">
        <v>23313</v>
      </c>
      <c r="K21" s="11" t="n">
        <v>17593</v>
      </c>
      <c r="L21" s="11" t="n">
        <v>21270</v>
      </c>
      <c r="M21" s="56" t="n">
        <v>14498</v>
      </c>
      <c r="O21" s="10" t="s">
        <v>36</v>
      </c>
      <c r="P21" s="13" t="n">
        <v>-340280</v>
      </c>
      <c r="Q21" s="13" t="n">
        <v>-401796</v>
      </c>
      <c r="R21" s="13" t="n">
        <v>-342773</v>
      </c>
      <c r="S21" s="13" t="n">
        <v>-206573</v>
      </c>
      <c r="T21" s="58" t="n">
        <v>-257344</v>
      </c>
    </row>
    <row r="22" customFormat="false" ht="15" hidden="false" customHeight="false" outlineLevel="0" collapsed="false">
      <c r="A22" s="10" t="s">
        <v>37</v>
      </c>
      <c r="B22" s="11" t="n">
        <v>3831253</v>
      </c>
      <c r="C22" s="11" t="n">
        <v>3249285</v>
      </c>
      <c r="D22" s="11" t="n">
        <v>2945579</v>
      </c>
      <c r="E22" s="11" t="n">
        <v>2633525</v>
      </c>
      <c r="F22" s="56" t="n">
        <v>2861337</v>
      </c>
      <c r="H22" s="10" t="s">
        <v>8</v>
      </c>
      <c r="I22" s="11" t="n">
        <v>685829</v>
      </c>
      <c r="J22" s="11" t="n">
        <v>621072</v>
      </c>
      <c r="K22" s="11" t="n">
        <v>656983</v>
      </c>
      <c r="L22" s="11" t="n">
        <v>605960</v>
      </c>
      <c r="M22" s="56" t="n">
        <v>589290</v>
      </c>
      <c r="O22" s="10" t="s">
        <v>38</v>
      </c>
      <c r="P22" s="11" t="n">
        <v>779438</v>
      </c>
      <c r="Q22" s="11" t="n">
        <v>519420</v>
      </c>
      <c r="R22" s="11" t="n">
        <v>427224</v>
      </c>
      <c r="S22" s="11" t="n">
        <v>360486</v>
      </c>
      <c r="T22" s="56" t="n">
        <v>208504</v>
      </c>
    </row>
    <row r="23" customFormat="false" ht="15" hidden="false" customHeight="false" outlineLevel="0" collapsed="false">
      <c r="H23" s="10" t="s">
        <v>39</v>
      </c>
      <c r="I23" s="11" t="n">
        <v>522737</v>
      </c>
      <c r="J23" s="11" t="n">
        <v>365569</v>
      </c>
      <c r="K23" s="11" t="n">
        <v>104281</v>
      </c>
      <c r="L23" s="11" t="n">
        <v>764358</v>
      </c>
      <c r="M23" s="56" t="n">
        <v>483997</v>
      </c>
      <c r="O23" s="10" t="s">
        <v>40</v>
      </c>
      <c r="P23" s="11" t="n">
        <v>97804</v>
      </c>
      <c r="Q23" s="11" t="n">
        <v>779438</v>
      </c>
      <c r="R23" s="11" t="n">
        <v>519419</v>
      </c>
      <c r="S23" s="11" t="n">
        <v>427225</v>
      </c>
      <c r="T23" s="56" t="n">
        <v>360487</v>
      </c>
    </row>
    <row r="24" customFormat="false" ht="15" hidden="false" customHeight="false" outlineLevel="0" collapsed="false">
      <c r="H24" s="10" t="s">
        <v>41</v>
      </c>
      <c r="I24" s="13" t="n">
        <v>-68583</v>
      </c>
      <c r="J24" s="13" t="n">
        <v>-62107</v>
      </c>
      <c r="K24" s="11" t="n">
        <v>65698</v>
      </c>
      <c r="L24" s="11" t="n">
        <v>60596</v>
      </c>
      <c r="M24" s="56" t="n">
        <v>58929</v>
      </c>
      <c r="O24" s="2" t="s">
        <v>42</v>
      </c>
      <c r="P24" s="12" t="n">
        <f aca="false">SUM(P11:P17)</f>
        <v>616050</v>
      </c>
      <c r="Q24" s="12" t="n">
        <f aca="false">SUM(Q11:Q17)</f>
        <v>665070</v>
      </c>
      <c r="R24" s="12" t="n">
        <f aca="false">SUM(R11:R17)</f>
        <v>561840</v>
      </c>
      <c r="S24" s="12" t="n">
        <f aca="false">SUM(S11:S17)</f>
        <v>422933</v>
      </c>
      <c r="T24" s="12" t="n">
        <f aca="false">SUM(T11:T17)</f>
        <v>541459</v>
      </c>
    </row>
    <row r="25" customFormat="false" ht="15" hidden="false" customHeight="false" outlineLevel="0" collapsed="false">
      <c r="H25" s="10" t="s">
        <v>43</v>
      </c>
      <c r="I25" s="13" t="n">
        <v>-340280</v>
      </c>
      <c r="J25" s="13" t="n">
        <v>-401796</v>
      </c>
      <c r="K25" s="11" t="n">
        <v>329995</v>
      </c>
      <c r="L25" s="11" t="n">
        <v>799547</v>
      </c>
      <c r="M25" s="56" t="n">
        <v>250000</v>
      </c>
      <c r="O25" s="2" t="s">
        <v>44</v>
      </c>
      <c r="P25" s="12" t="n">
        <f aca="false">P18+P19</f>
        <v>-957404</v>
      </c>
      <c r="Q25" s="12" t="n">
        <f aca="false">Q18+Q19</f>
        <v>-3256</v>
      </c>
      <c r="R25" s="12" t="n">
        <f aca="false">R18+R19</f>
        <v>-126872</v>
      </c>
      <c r="S25" s="12" t="n">
        <f aca="false">S18+S19</f>
        <v>-149621</v>
      </c>
      <c r="T25" s="12" t="n">
        <f aca="false">T18+T19</f>
        <v>-132132</v>
      </c>
    </row>
    <row r="26" customFormat="false" ht="15" hidden="false" customHeight="false" outlineLevel="0" collapsed="false">
      <c r="H26" s="10" t="s">
        <v>45</v>
      </c>
      <c r="I26" s="18"/>
      <c r="J26" s="18"/>
      <c r="K26" s="18"/>
      <c r="L26" s="11" t="n">
        <v>405894</v>
      </c>
      <c r="M26" s="57"/>
      <c r="O26" s="2" t="s">
        <v>46</v>
      </c>
      <c r="P26" s="12" t="n">
        <f aca="false">P20+P21</f>
        <v>-340280</v>
      </c>
      <c r="Q26" s="12" t="n">
        <f aca="false">Q20+Q21</f>
        <v>-401796</v>
      </c>
      <c r="R26" s="12" t="n">
        <f aca="false">R20+R21</f>
        <v>-342773</v>
      </c>
      <c r="S26" s="12" t="n">
        <f aca="false">S20+S21</f>
        <v>-206573</v>
      </c>
      <c r="T26" s="12" t="n">
        <f aca="false">T20+T21</f>
        <v>-257344</v>
      </c>
    </row>
    <row r="27" customFormat="false" ht="15" hidden="false" customHeight="false" outlineLevel="0" collapsed="false">
      <c r="H27" s="10" t="s">
        <v>47</v>
      </c>
      <c r="I27" s="11" t="n">
        <v>799704</v>
      </c>
      <c r="J27" s="11" t="n">
        <v>522738</v>
      </c>
      <c r="K27" s="11" t="n">
        <v>365569</v>
      </c>
      <c r="L27" s="11" t="n">
        <v>104281</v>
      </c>
      <c r="M27" s="56" t="n">
        <v>764358</v>
      </c>
      <c r="O27" s="2" t="s">
        <v>48</v>
      </c>
      <c r="P27" s="12" t="n">
        <f aca="false">P24+P25+P26</f>
        <v>-681634</v>
      </c>
      <c r="Q27" s="12" t="n">
        <f aca="false">Q24+Q25+Q26</f>
        <v>260018</v>
      </c>
      <c r="R27" s="12" t="n">
        <f aca="false">R24+R25+R26</f>
        <v>92195</v>
      </c>
      <c r="S27" s="12" t="n">
        <f aca="false">S24+S25+S26</f>
        <v>66739</v>
      </c>
      <c r="T27" s="12" t="n">
        <f aca="false">T24+T25+T26</f>
        <v>151983</v>
      </c>
    </row>
    <row r="28" customFormat="false" ht="15" hidden="false" customHeight="false" outlineLevel="0" collapsed="false">
      <c r="H28" s="6"/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0.492734100306088</v>
      </c>
      <c r="C30" s="24" t="n">
        <f aca="false">C11/C$16</f>
        <v>0.543345074377902</v>
      </c>
      <c r="D30" s="24" t="n">
        <f aca="false">D11/D$16</f>
        <v>0.457955464782985</v>
      </c>
      <c r="E30" s="24" t="n">
        <f aca="false">E11/E$16</f>
        <v>0.403035854985238</v>
      </c>
      <c r="F30" s="24" t="n">
        <f aca="false">F11/F$16</f>
        <v>0.460413785583453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0.264043763223533</v>
      </c>
      <c r="Q30" s="26" t="n">
        <f aca="false">Q11/J$11</f>
        <v>0.253643753700042</v>
      </c>
      <c r="R30" s="26" t="n">
        <f aca="false">R11/K$11</f>
        <v>0.280135679598144</v>
      </c>
      <c r="S30" s="26" t="n">
        <f aca="false">S11/L$11</f>
        <v>0.292571911547875</v>
      </c>
      <c r="T30" s="26" t="n">
        <f aca="false">T11/M$11</f>
        <v>0.300822919993364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8.8942644304824E-005</v>
      </c>
      <c r="D31" s="24" t="n">
        <f aca="false">D12/D$16</f>
        <v>0.000321159269535803</v>
      </c>
      <c r="E31" s="24" t="n">
        <f aca="false">E12/E$16</f>
        <v>0.000837660550023258</v>
      </c>
      <c r="F31" s="24" t="n">
        <f aca="false">F12/F$16</f>
        <v>0.000927887906946997</v>
      </c>
      <c r="G31" s="6"/>
      <c r="H31" s="25" t="s">
        <v>10</v>
      </c>
      <c r="I31" s="24" t="n">
        <f aca="false">I12/I$11</f>
        <v>0.628791204519207</v>
      </c>
      <c r="J31" s="24" t="n">
        <f aca="false">J12/J$11</f>
        <v>0.634435499615825</v>
      </c>
      <c r="K31" s="24" t="n">
        <f aca="false">K12/K$11</f>
        <v>0.633835764231782</v>
      </c>
      <c r="L31" s="24" t="n">
        <f aca="false">L12/L$11</f>
        <v>0.609826531626061</v>
      </c>
      <c r="M31" s="24" t="n">
        <f aca="false">M12/M$11</f>
        <v>0.584862596724363</v>
      </c>
      <c r="N31" s="6"/>
      <c r="O31" s="25" t="s">
        <v>11</v>
      </c>
      <c r="P31" s="26" t="n">
        <f aca="false">P12/I$11</f>
        <v>0.035289160086303</v>
      </c>
      <c r="Q31" s="26" t="n">
        <f aca="false">Q12/J$11</f>
        <v>0.0384698045118464</v>
      </c>
      <c r="R31" s="26" t="n">
        <f aca="false">R12/K$11</f>
        <v>0.0328904256017169</v>
      </c>
      <c r="S31" s="26" t="n">
        <f aca="false">S12/L$11</f>
        <v>0.031267127488923</v>
      </c>
      <c r="T31" s="26" t="n">
        <f aca="false">T12/M$11</f>
        <v>0.0275514032288038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0.144376526426211</v>
      </c>
      <c r="C32" s="24" t="n">
        <f aca="false">C13/C$16</f>
        <v>0.0234516208950585</v>
      </c>
      <c r="D32" s="24" t="n">
        <f aca="false">D13/D$16</f>
        <v>0.0226030264338522</v>
      </c>
      <c r="E32" s="24" t="n">
        <f aca="false">E13/E$16</f>
        <v>0</v>
      </c>
      <c r="F32" s="24" t="n">
        <f aca="false">F13/F$16</f>
        <v>0</v>
      </c>
      <c r="G32" s="6"/>
      <c r="H32" s="25" t="s">
        <v>13</v>
      </c>
      <c r="I32" s="24" t="n">
        <f aca="false">I13/I$11</f>
        <v>0.371208795480793</v>
      </c>
      <c r="J32" s="24" t="n">
        <f aca="false">J13/J$11</f>
        <v>0.365564500384175</v>
      </c>
      <c r="K32" s="24" t="n">
        <f aca="false">K13/K$11</f>
        <v>0.366164235768218</v>
      </c>
      <c r="L32" s="24" t="n">
        <f aca="false">L13/L$11</f>
        <v>0.390173468373939</v>
      </c>
      <c r="M32" s="24" t="n">
        <f aca="false">M13/M$11</f>
        <v>0.415137403275637</v>
      </c>
      <c r="N32" s="6"/>
      <c r="O32" s="25" t="s">
        <v>14</v>
      </c>
      <c r="P32" s="26" t="n">
        <f aca="false">P13/I$11</f>
        <v>-0.0961912191157502</v>
      </c>
      <c r="Q32" s="26" t="n">
        <f aca="false">Q13/J$11</f>
        <v>-0.0372645356526558</v>
      </c>
      <c r="R32" s="26" t="n">
        <f aca="false">R13/K$11</f>
        <v>-0.0789912567389223</v>
      </c>
      <c r="S32" s="26" t="n">
        <f aca="false">S13/L$11</f>
        <v>-0.124685553879961</v>
      </c>
      <c r="T32" s="26" t="n">
        <f aca="false">T13/M$11</f>
        <v>-0.10746038729105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0.125173931348308</v>
      </c>
      <c r="C33" s="24" t="n">
        <f aca="false">C14/C$16</f>
        <v>0.145613573447697</v>
      </c>
      <c r="D33" s="24" t="n">
        <f aca="false">D14/D$16</f>
        <v>0.184410603144577</v>
      </c>
      <c r="E33" s="24" t="n">
        <f aca="false">E14/E$16</f>
        <v>0.202108200985371</v>
      </c>
      <c r="F33" s="24" t="n">
        <f aca="false">F14/F$16</f>
        <v>0.156577851542828</v>
      </c>
      <c r="G33" s="6"/>
      <c r="H33" s="25" t="s">
        <v>16</v>
      </c>
      <c r="I33" s="24" t="n">
        <f aca="false">I14/I$11</f>
        <v>0.0168293007632378</v>
      </c>
      <c r="J33" s="24" t="n">
        <f aca="false">J14/J$11</f>
        <v>0.0196110075449358</v>
      </c>
      <c r="K33" s="24" t="n">
        <f aca="false">K14/K$11</f>
        <v>0.0203988661251996</v>
      </c>
      <c r="L33" s="24" t="n">
        <f aca="false">L14/L$11</f>
        <v>0.00109895799564242</v>
      </c>
      <c r="M33" s="24" t="n">
        <f aca="false">M14/M$11</f>
        <v>0.00122214854012289</v>
      </c>
      <c r="N33" s="6"/>
      <c r="O33" s="25" t="s">
        <v>9</v>
      </c>
      <c r="P33" s="26" t="n">
        <f aca="false">P14/I$11</f>
        <v>0</v>
      </c>
      <c r="Q33" s="26" t="n">
        <f aca="false">Q14/J$11</f>
        <v>0.000258609288206472</v>
      </c>
      <c r="R33" s="26" t="n">
        <f aca="false">R14/K$11</f>
        <v>0.000523250164242413</v>
      </c>
      <c r="S33" s="26" t="n">
        <f aca="false">S14/L$11</f>
        <v>0.00020990284297075</v>
      </c>
      <c r="T33" s="26" t="n">
        <f aca="false">T14/M$11</f>
        <v>0.00138855604619751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0.237715441919393</v>
      </c>
      <c r="C34" s="24" t="n">
        <f aca="false">C15/C$16</f>
        <v>0.287500788635038</v>
      </c>
      <c r="D34" s="24" t="n">
        <f aca="false">D15/D$16</f>
        <v>0.33470974636905</v>
      </c>
      <c r="E34" s="24" t="n">
        <f aca="false">E15/E$16</f>
        <v>0.394018283479367</v>
      </c>
      <c r="F34" s="24" t="n">
        <f aca="false">F15/F$16</f>
        <v>0.382080474966772</v>
      </c>
      <c r="G34" s="6"/>
      <c r="H34" s="25" t="s">
        <v>18</v>
      </c>
      <c r="I34" s="24" t="n">
        <f aca="false">I15/I$11</f>
        <v>0.388038096244031</v>
      </c>
      <c r="J34" s="24" t="n">
        <f aca="false">J15/J$11</f>
        <v>0.38517550792911</v>
      </c>
      <c r="K34" s="24" t="n">
        <f aca="false">K15/K$11</f>
        <v>0.386563101893418</v>
      </c>
      <c r="L34" s="24" t="n">
        <f aca="false">L15/L$11</f>
        <v>0.391272426369581</v>
      </c>
      <c r="M34" s="24" t="n">
        <f aca="false">M15/M$11</f>
        <v>0.41635955181576</v>
      </c>
      <c r="N34" s="6"/>
      <c r="O34" s="25" t="s">
        <v>19</v>
      </c>
      <c r="P34" s="26" t="n">
        <f aca="false">P15/I$11</f>
        <v>-0.0500786122868419</v>
      </c>
      <c r="Q34" s="26" t="n">
        <f aca="false">Q15/J$11</f>
        <v>-0.0243454862641861</v>
      </c>
      <c r="R34" s="26" t="n">
        <f aca="false">R15/K$11</f>
        <v>-0.00557386008290608</v>
      </c>
      <c r="S34" s="26" t="n">
        <f aca="false">S15/L$11</f>
        <v>-0.00900483196344519</v>
      </c>
      <c r="T34" s="26" t="n">
        <f aca="false">T15/M$11</f>
        <v>-0.0176626122690162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0.0880952721503459</v>
      </c>
      <c r="J35" s="24" t="n">
        <f aca="false">J16/J$11</f>
        <v>0.0926415620158456</v>
      </c>
      <c r="K35" s="24" t="n">
        <f aca="false">K16/K$11</f>
        <v>0.0730378326479864</v>
      </c>
      <c r="L35" s="24" t="n">
        <f aca="false">L16/L$11</f>
        <v>0.0665508624907818</v>
      </c>
      <c r="M35" s="24" t="n">
        <f aca="false">M16/M$11</f>
        <v>0.086363004522398</v>
      </c>
      <c r="N35" s="6"/>
      <c r="O35" s="25" t="s">
        <v>22</v>
      </c>
      <c r="P35" s="26" t="n">
        <f aca="false">P16/I$11</f>
        <v>-0.00863983323266119</v>
      </c>
      <c r="Q35" s="26" t="n">
        <f aca="false">Q16/J$11</f>
        <v>0.00829990175208777</v>
      </c>
      <c r="R35" s="26" t="n">
        <f aca="false">R16/K$11</f>
        <v>-0.00745506900672999</v>
      </c>
      <c r="S35" s="26" t="n">
        <f aca="false">S16/L$11</f>
        <v>-0.0421512895730996</v>
      </c>
      <c r="T35" s="26" t="n">
        <f aca="false">T16/M$11</f>
        <v>0.0279699131243209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0.121494717263517</v>
      </c>
      <c r="C36" s="24" t="n">
        <f aca="false">C17/C$16</f>
        <v>0.0862235845732215</v>
      </c>
      <c r="D36" s="24" t="n">
        <f aca="false">D17/D$16</f>
        <v>0.0810526555220553</v>
      </c>
      <c r="E36" s="24" t="n">
        <f aca="false">E17/E$16</f>
        <v>0.110888258133111</v>
      </c>
      <c r="F36" s="24" t="n">
        <f aca="false">F17/F$16</f>
        <v>0.123329059107683</v>
      </c>
      <c r="G36" s="6"/>
      <c r="H36" s="25" t="s">
        <v>11</v>
      </c>
      <c r="I36" s="24" t="n">
        <f aca="false">I17/I$11</f>
        <v>0.035289160086303</v>
      </c>
      <c r="J36" s="24" t="n">
        <f aca="false">J17/J$11</f>
        <v>0.0384698045118464</v>
      </c>
      <c r="K36" s="24" t="n">
        <f aca="false">K17/K$11</f>
        <v>0.0328904256017169</v>
      </c>
      <c r="L36" s="24" t="n">
        <f aca="false">L17/L$11</f>
        <v>0.031267127488923</v>
      </c>
      <c r="M36" s="24" t="n">
        <f aca="false">M17/M$11</f>
        <v>0.0275514032288038</v>
      </c>
      <c r="N36" s="6"/>
      <c r="O36" s="25" t="s">
        <v>24</v>
      </c>
      <c r="P36" s="26" t="n">
        <f aca="false">P17/I$11</f>
        <v>0.0815114243622173</v>
      </c>
      <c r="Q36" s="26" t="n">
        <f aca="false">Q17/J$11</f>
        <v>0.0227237659180512</v>
      </c>
      <c r="R36" s="26" t="n">
        <f aca="false">R17/K$11</f>
        <v>0.0117905703675957</v>
      </c>
      <c r="S36" s="26" t="n">
        <f aca="false">S17/L$11</f>
        <v>0.0490701537281777</v>
      </c>
      <c r="T36" s="26" t="n">
        <f aca="false">T17/M$11</f>
        <v>0.0371591946873158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0.0825776841153534</v>
      </c>
      <c r="C37" s="24" t="n">
        <f aca="false">C18/C$16</f>
        <v>0.081638883631322</v>
      </c>
      <c r="D37" s="24" t="n">
        <f aca="false">D18/D$16</f>
        <v>0.0754540957821875</v>
      </c>
      <c r="E37" s="24" t="n">
        <f aca="false">E18/E$16</f>
        <v>0.0698333982020296</v>
      </c>
      <c r="F37" s="24" t="n">
        <f aca="false">F18/F$16</f>
        <v>0.0549655633013518</v>
      </c>
      <c r="G37" s="6"/>
      <c r="H37" s="25" t="s">
        <v>26</v>
      </c>
      <c r="I37" s="24" t="n">
        <f aca="false">I18/I$11</f>
        <v>0.000609900783849035</v>
      </c>
      <c r="J37" s="24" t="n">
        <f aca="false">J18/J$11</f>
        <v>0.00042038770137673</v>
      </c>
      <c r="K37" s="24" t="n">
        <f aca="false">K18/K$11</f>
        <v>0.000498333489754679</v>
      </c>
      <c r="L37" s="24" t="n">
        <f aca="false">L18/L$11</f>
        <v>0.000882524842001466</v>
      </c>
      <c r="M37" s="24" t="n">
        <f aca="false">M18/M$11</f>
        <v>0.00162222407119451</v>
      </c>
      <c r="N37" s="6"/>
      <c r="O37" s="25" t="s">
        <v>27</v>
      </c>
      <c r="P37" s="26" t="n">
        <f aca="false">P18/I$11</f>
        <v>-0.0376609149685349</v>
      </c>
      <c r="Q37" s="26" t="n">
        <f aca="false">Q18/J$11</f>
        <v>-0.0118058879469965</v>
      </c>
      <c r="R37" s="26" t="n">
        <f aca="false">R18/K$11</f>
        <v>-0.0527747623987449</v>
      </c>
      <c r="S37" s="26" t="n">
        <f aca="false">S18/L$11</f>
        <v>-0.0705665371021933</v>
      </c>
      <c r="T37" s="26" t="n">
        <f aca="false">T18/M$11</f>
        <v>-0.0658316065648259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</v>
      </c>
      <c r="G38" s="6"/>
      <c r="H38" s="25" t="s">
        <v>29</v>
      </c>
      <c r="I38" s="24" t="n">
        <f aca="false">I19/I$11</f>
        <v>0.123994333020498</v>
      </c>
      <c r="J38" s="24" t="n">
        <f aca="false">J19/J$11</f>
        <v>0.131531754229069</v>
      </c>
      <c r="K38" s="24" t="n">
        <f aca="false">K19/K$11</f>
        <v>0.106426591739458</v>
      </c>
      <c r="L38" s="24" t="n">
        <f aca="false">L19/L$11</f>
        <v>0.0987005148217062</v>
      </c>
      <c r="M38" s="24" t="n">
        <f aca="false">M19/M$11</f>
        <v>0.115536631822396</v>
      </c>
      <c r="N38" s="6"/>
      <c r="O38" s="25" t="s">
        <v>30</v>
      </c>
      <c r="P38" s="26" t="n">
        <f aca="false">P19/I$11</f>
        <v>-0.313464430828339</v>
      </c>
      <c r="Q38" s="26" t="n">
        <f aca="false">Q19/J$11</f>
        <v>0.010524256527818</v>
      </c>
      <c r="R38" s="26" t="n">
        <f aca="false">R19/K$11</f>
        <v>8.76236386151977E-005</v>
      </c>
      <c r="S38" s="26" t="n">
        <f aca="false">S19/L$11</f>
        <v>0.000775707617467462</v>
      </c>
      <c r="T38" s="26" t="n">
        <f aca="false">T19/M$11</f>
        <v>0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0.79592759862113</v>
      </c>
      <c r="C39" s="24" t="n">
        <f aca="false">C20/C$16</f>
        <v>0.832137531795457</v>
      </c>
      <c r="D39" s="24" t="n">
        <f aca="false">D20/D$16</f>
        <v>0.843493248695757</v>
      </c>
      <c r="E39" s="24" t="n">
        <f aca="false">E20/E$16</f>
        <v>0.81927834366486</v>
      </c>
      <c r="F39" s="24" t="n">
        <f aca="false">F20/F$16</f>
        <v>0.821705377590965</v>
      </c>
      <c r="G39" s="6"/>
      <c r="H39" s="25" t="s">
        <v>32</v>
      </c>
      <c r="I39" s="24" t="n">
        <f aca="false">I20/I$11</f>
        <v>0.264043763223533</v>
      </c>
      <c r="J39" s="24" t="n">
        <f aca="false">J20/J$11</f>
        <v>0.253643753700042</v>
      </c>
      <c r="K39" s="24" t="n">
        <f aca="false">K20/K$11</f>
        <v>0.28013651015396</v>
      </c>
      <c r="L39" s="24" t="n">
        <f aca="false">L20/L$11</f>
        <v>0.292571911547875</v>
      </c>
      <c r="M39" s="24" t="n">
        <f aca="false">M20/M$11</f>
        <v>0.300822919993364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0.0125178193351385</v>
      </c>
      <c r="J40" s="24" t="n">
        <f aca="false">J21/J$11</f>
        <v>0.00917649670617576</v>
      </c>
      <c r="K40" s="24" t="n">
        <f aca="false">K21/K$11</f>
        <v>0.00730598423771172</v>
      </c>
      <c r="L40" s="24" t="n">
        <f aca="false">L21/L$11</f>
        <v>0.00992140771108413</v>
      </c>
      <c r="M40" s="24" t="n">
        <f aca="false">M21/M$11</f>
        <v>0.00722328150619719</v>
      </c>
      <c r="N40" s="6"/>
      <c r="O40" s="25" t="s">
        <v>36</v>
      </c>
      <c r="P40" s="26" t="n">
        <f aca="false">P21/I$11</f>
        <v>-0.124796776144407</v>
      </c>
      <c r="Q40" s="26" t="n">
        <f aca="false">Q21/J$11</f>
        <v>-0.158155521406709</v>
      </c>
      <c r="R40" s="26" t="n">
        <f aca="false">R21/K$11</f>
        <v>-0.142346054403067</v>
      </c>
      <c r="S40" s="26" t="n">
        <f aca="false">S21/L$11</f>
        <v>-0.096356133291104</v>
      </c>
      <c r="T40" s="26" t="n">
        <f aca="false">T21/M$11</f>
        <v>-0.128215488752297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0.251525943888394</v>
      </c>
      <c r="J41" s="24" t="n">
        <f aca="false">J22/J$11</f>
        <v>0.244467256993866</v>
      </c>
      <c r="K41" s="24" t="n">
        <f aca="false">K22/K$11</f>
        <v>0.272830525916248</v>
      </c>
      <c r="L41" s="24" t="n">
        <f aca="false">L22/L$11</f>
        <v>0.282650503836791</v>
      </c>
      <c r="M41" s="24" t="n">
        <f aca="false">M22/M$11</f>
        <v>0.293599638487166</v>
      </c>
      <c r="N41" s="6"/>
      <c r="O41" s="25" t="s">
        <v>38</v>
      </c>
      <c r="P41" s="26" t="n">
        <f aca="false">P22/I$11</f>
        <v>0.285856793242167</v>
      </c>
      <c r="Q41" s="26" t="n">
        <f aca="false">Q22/J$11</f>
        <v>0.204454850045975</v>
      </c>
      <c r="R41" s="26" t="n">
        <f aca="false">R22/K$11</f>
        <v>0.177416689022461</v>
      </c>
      <c r="S41" s="26" t="n">
        <f aca="false">S22/L$11</f>
        <v>0.168148969447009</v>
      </c>
      <c r="T41" s="26" t="n">
        <f aca="false">T22/M$11</f>
        <v>0.10388212768438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0.19171239088809</v>
      </c>
      <c r="J42" s="24" t="n">
        <f aca="false">J23/J$11</f>
        <v>0.143895797382575</v>
      </c>
      <c r="K42" s="24" t="n">
        <f aca="false">K23/K$11</f>
        <v>0.0433055955375897</v>
      </c>
      <c r="L42" s="24" t="n">
        <f aca="false">L23/L$11</f>
        <v>0.356535371660971</v>
      </c>
      <c r="M42" s="24" t="n">
        <f aca="false">M23/M$11</f>
        <v>0.241139921310175</v>
      </c>
      <c r="N42" s="6"/>
      <c r="O42" s="25" t="s">
        <v>40</v>
      </c>
      <c r="P42" s="26" t="n">
        <f aca="false">P23/I$11</f>
        <v>0.0358693543376855</v>
      </c>
      <c r="Q42" s="26" t="n">
        <f aca="false">Q23/J$11</f>
        <v>0.306803510473479</v>
      </c>
      <c r="R42" s="26" t="n">
        <f aca="false">R23/K$11</f>
        <v>0.215703235762405</v>
      </c>
      <c r="S42" s="26" t="n">
        <f aca="false">S23/L$11</f>
        <v>0.19927942686262</v>
      </c>
      <c r="T42" s="26" t="n">
        <f aca="false">T23/M$11</f>
        <v>0.179604019887192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-0.0251526310635709</v>
      </c>
      <c r="J43" s="24" t="n">
        <f aca="false">J24/J$11</f>
        <v>-0.0244466469750979</v>
      </c>
      <c r="K43" s="24" t="n">
        <f aca="false">K24/K$11</f>
        <v>0.0272829280082524</v>
      </c>
      <c r="L43" s="24" t="n">
        <f aca="false">L24/L$11</f>
        <v>0.0282650503836791</v>
      </c>
      <c r="M43" s="24" t="n">
        <f aca="false">M24/M$11</f>
        <v>0.0293599638487166</v>
      </c>
      <c r="N43" s="6"/>
      <c r="O43" s="2" t="s">
        <v>49</v>
      </c>
      <c r="P43" s="26" t="n">
        <f aca="false">P24/I11</f>
        <v>0.2259346830368</v>
      </c>
      <c r="Q43" s="26" t="n">
        <f aca="false">Q24/J11</f>
        <v>0.261785813253391</v>
      </c>
      <c r="R43" s="26" t="n">
        <f aca="false">R24/K11</f>
        <v>0.233319739903141</v>
      </c>
      <c r="S43" s="26" t="n">
        <f aca="false">S24/L11</f>
        <v>0.197277420191441</v>
      </c>
      <c r="T43" s="26" t="n">
        <f aca="false">T24/M11</f>
        <v>0.269768987519935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-0.124796776144407</v>
      </c>
      <c r="J44" s="24" t="n">
        <f aca="false">J25/J$11</f>
        <v>-0.158155521406709</v>
      </c>
      <c r="K44" s="24" t="n">
        <f aca="false">K25/K$11</f>
        <v>0.137039633292996</v>
      </c>
      <c r="L44" s="24" t="n">
        <f aca="false">L25/L$11</f>
        <v>0.372949307530521</v>
      </c>
      <c r="M44" s="24" t="n">
        <f aca="false">M25/M$11</f>
        <v>0.12455651652292</v>
      </c>
      <c r="N44" s="6"/>
      <c r="O44" s="2" t="s">
        <v>50</v>
      </c>
      <c r="P44" s="26" t="n">
        <f aca="false">P24/B16</f>
        <v>0.160795958919967</v>
      </c>
      <c r="Q44" s="26" t="n">
        <f aca="false">Q24/C16</f>
        <v>0.204681953106606</v>
      </c>
      <c r="R44" s="26" t="n">
        <f aca="false">R24/D16</f>
        <v>0.190740088790693</v>
      </c>
      <c r="S44" s="26" t="n">
        <f aca="false">S24/E16</f>
        <v>0.160595779421118</v>
      </c>
      <c r="T44" s="26" t="n">
        <f aca="false">T24/F16</f>
        <v>0.189232865614921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24" t="n">
        <f aca="false">L26/L$11</f>
        <v>0.189329565655044</v>
      </c>
      <c r="M45" s="24" t="n">
        <f aca="false">M26/M$11</f>
        <v>0</v>
      </c>
      <c r="N45" s="6"/>
      <c r="O45" s="2" t="s">
        <v>51</v>
      </c>
      <c r="P45" s="26" t="n">
        <f aca="false">P24/B20</f>
        <v>0.202023348855513</v>
      </c>
      <c r="Q45" s="26" t="n">
        <f aca="false">Q24/C20</f>
        <v>0.245971303163043</v>
      </c>
      <c r="R45" s="26" t="n">
        <f aca="false">R24/D20</f>
        <v>0.226131138673158</v>
      </c>
      <c r="S45" s="26" t="n">
        <f aca="false">S24/E20</f>
        <v>0.196021023456727</v>
      </c>
      <c r="T45" s="26" t="n">
        <f aca="false">T24/F20</f>
        <v>0.230292840689085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0.29328929431582</v>
      </c>
      <c r="J46" s="24" t="n">
        <f aca="false">J27/J$11</f>
        <v>0.205760885994634</v>
      </c>
      <c r="K46" s="24" t="n">
        <f aca="false">K27/K$11</f>
        <v>0.151812729596773</v>
      </c>
      <c r="L46" s="24" t="n">
        <f aca="false">L27/L$11</f>
        <v>0.0486419519285174</v>
      </c>
      <c r="M46" s="24" t="n">
        <f aca="false">M27/M$11</f>
        <v>0.380823079425705</v>
      </c>
      <c r="N46" s="6"/>
      <c r="O46" s="2" t="s">
        <v>52</v>
      </c>
      <c r="P46" s="26" t="n">
        <f aca="false">P24/I22</f>
        <v>0.898255979260136</v>
      </c>
      <c r="Q46" s="26" t="n">
        <f aca="false">Q24/J22</f>
        <v>1.07084202797743</v>
      </c>
      <c r="R46" s="26" t="n">
        <f aca="false">R24/K22</f>
        <v>0.85518194534714</v>
      </c>
      <c r="S46" s="26" t="n">
        <f aca="false">S24/L22</f>
        <v>0.697955310581557</v>
      </c>
      <c r="T46" s="26" t="n">
        <f aca="false">T24/M22</f>
        <v>0.918832832730914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0.787935839601562</v>
      </c>
      <c r="Q47" s="26" t="n">
        <f aca="false">Q24/(C22-C20)</f>
        <v>1.21934316405498</v>
      </c>
      <c r="R47" s="26" t="n">
        <f aca="false">R24/(D22-D20)</f>
        <v>1.21873393448633</v>
      </c>
      <c r="S47" s="26" t="n">
        <f aca="false">S24/(E22-E20)</f>
        <v>0.888636053242565</v>
      </c>
      <c r="T47" s="26" t="n">
        <f aca="false">T24/(F22-F20)</f>
        <v>1.06134926033154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-1.81042082990478</v>
      </c>
      <c r="Q48" s="26" t="n">
        <f aca="false">Q24/J25</f>
        <v>-1.65524295911358</v>
      </c>
      <c r="R48" s="26" t="n">
        <f aca="false">R24/K25</f>
        <v>1.70257125107956</v>
      </c>
      <c r="S48" s="26" t="n">
        <f aca="false">S24/L25</f>
        <v>0.528965776871153</v>
      </c>
      <c r="T48" s="26" t="n">
        <f aca="false">T24/M25</f>
        <v>2.165836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5.99918199612422</v>
      </c>
      <c r="Q49" s="26" t="n">
        <f aca="false">Q24/(Q18*-1)</f>
        <v>22.1741739739273</v>
      </c>
      <c r="R49" s="26" t="n">
        <f aca="false">R24/(R18*-1)</f>
        <v>4.42104766176436</v>
      </c>
      <c r="S49" s="26" t="n">
        <f aca="false">S24/(S18*-1)</f>
        <v>2.79562280214696</v>
      </c>
      <c r="T49" s="26" t="n">
        <f aca="false">T24/(T18*-1)</f>
        <v>4.09786425695517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0.086038509255531</v>
      </c>
      <c r="J50" s="28" t="n">
        <f aca="false">LN(J13/K13)</f>
        <v>0.0519190816909194</v>
      </c>
      <c r="K50" s="28" t="n">
        <f aca="false">LN(K13/L13)</f>
        <v>0.052695046529209</v>
      </c>
      <c r="L50" s="28" t="n">
        <f aca="false">LN(L13/M13)</f>
        <v>0.00388332791222404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4.05560102862225</v>
      </c>
      <c r="C51" s="30" t="n">
        <f aca="false">C11/C17</f>
        <v>6.30158299573466</v>
      </c>
      <c r="D51" s="30" t="n">
        <f aca="false">D11/D17</f>
        <v>5.65009822112948</v>
      </c>
      <c r="E51" s="30" t="n">
        <f aca="false">E11/E17</f>
        <v>3.63461255294887</v>
      </c>
      <c r="F51" s="30" t="n">
        <f aca="false">F11/F17</f>
        <v>3.73321412580833</v>
      </c>
      <c r="H51" s="29" t="s">
        <v>58</v>
      </c>
      <c r="I51" s="63" t="n">
        <f aca="false">I13/I11</f>
        <v>0.371208795480793</v>
      </c>
      <c r="J51" s="63" t="n">
        <f aca="false">J13/J11</f>
        <v>0.365564500384175</v>
      </c>
      <c r="K51" s="63" t="n">
        <f aca="false">K13/K11</f>
        <v>0.366164235768218</v>
      </c>
      <c r="L51" s="63" t="n">
        <f aca="false">L13/L11</f>
        <v>0.390173468373939</v>
      </c>
      <c r="M51" s="63" t="n">
        <f aca="false">M13/M11</f>
        <v>0.415137403275637</v>
      </c>
      <c r="O51" s="2" t="s">
        <v>59</v>
      </c>
      <c r="P51" s="32" t="n">
        <f aca="false">(P11-P24-P25)/B16</f>
        <v>0.277015117508554</v>
      </c>
      <c r="Q51" s="32" t="n">
        <f aca="false">(Q11-Q24-Q25)/C16</f>
        <v>-0.00536394929961515</v>
      </c>
      <c r="R51" s="32" t="n">
        <f aca="false">(R11-R24-R25)/D16</f>
        <v>0.0813442790025323</v>
      </c>
      <c r="S51" s="32" t="n">
        <f aca="false">(S11-S24-S25)/E16</f>
        <v>0.134389458995073</v>
      </c>
      <c r="T51" s="32" t="n">
        <f aca="false">(T11-T24-T25)/F16</f>
        <v>0.0679615857901394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0.187917895268206</v>
      </c>
      <c r="C52" s="31" t="n">
        <f aca="false">J20/C16</f>
        <v>0.198315937198491</v>
      </c>
      <c r="D52" s="31" t="n">
        <f aca="false">K20/D16</f>
        <v>0.229013039541632</v>
      </c>
      <c r="E52" s="31" t="n">
        <f aca="false">L20/E16</f>
        <v>0.238171272344102</v>
      </c>
      <c r="F52" s="31" t="n">
        <f aca="false">M20/F16</f>
        <v>0.211016039005542</v>
      </c>
      <c r="G52" s="31"/>
      <c r="H52" s="29" t="s">
        <v>61</v>
      </c>
      <c r="I52" s="63" t="n">
        <f aca="false">I16/I11</f>
        <v>0.0880952721503459</v>
      </c>
      <c r="J52" s="63" t="n">
        <f aca="false">J16/J11</f>
        <v>0.0926415620158456</v>
      </c>
      <c r="K52" s="63" t="n">
        <f aca="false">K16/K11</f>
        <v>0.0730378326479864</v>
      </c>
      <c r="L52" s="63" t="n">
        <f aca="false">L16/L11</f>
        <v>0.0665508624907818</v>
      </c>
      <c r="M52" s="63" t="n">
        <f aca="false">M16/M11</f>
        <v>0.086363004522398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0.236099232635928</v>
      </c>
      <c r="C53" s="31" t="n">
        <f aca="false">J20/C20</f>
        <v>0.238321106332743</v>
      </c>
      <c r="D53" s="31" t="n">
        <f aca="false">K20/D20</f>
        <v>0.271505480210708</v>
      </c>
      <c r="E53" s="31" t="n">
        <f aca="false">L20/E20</f>
        <v>0.290708614704369</v>
      </c>
      <c r="F53" s="31" t="n">
        <f aca="false">M20/F20</f>
        <v>0.256802553275467</v>
      </c>
      <c r="H53" s="29" t="s">
        <v>11</v>
      </c>
      <c r="I53" s="63" t="n">
        <f aca="false">I17/I11</f>
        <v>0.035289160086303</v>
      </c>
      <c r="J53" s="63" t="n">
        <f aca="false">J17/J11</f>
        <v>0.0384698045118464</v>
      </c>
      <c r="K53" s="63" t="n">
        <f aca="false">K17/K11</f>
        <v>0.0328904256017169</v>
      </c>
      <c r="L53" s="63" t="n">
        <f aca="false">L17/L11</f>
        <v>0.031267127488923</v>
      </c>
      <c r="M53" s="63" t="n">
        <f aca="false">M17/M11</f>
        <v>0.0275514032288038</v>
      </c>
      <c r="O53" s="6"/>
    </row>
    <row r="54" customFormat="false" ht="15" hidden="false" customHeight="false" outlineLevel="0" collapsed="false">
      <c r="A54" s="29" t="s">
        <v>63</v>
      </c>
      <c r="B54" s="30" t="e">
        <f aca="false">I11/B12</f>
        <v>#DIV/0!</v>
      </c>
      <c r="C54" s="30" t="n">
        <f aca="false">J11/C12</f>
        <v>8790.69896193772</v>
      </c>
      <c r="D54" s="30" t="n">
        <f aca="false">K11/D12</f>
        <v>2545.48202959831</v>
      </c>
      <c r="E54" s="30" t="n">
        <f aca="false">L11/E12</f>
        <v>971.826382592928</v>
      </c>
      <c r="F54" s="30" t="n">
        <f aca="false">M11/F12</f>
        <v>755.977777777778</v>
      </c>
      <c r="H54" s="29" t="s">
        <v>64</v>
      </c>
      <c r="I54" s="63" t="n">
        <f aca="false">I25/I22</f>
        <v>-0.496158663456926</v>
      </c>
      <c r="J54" s="63" t="n">
        <f aca="false">J25/J22</f>
        <v>-0.646939485277069</v>
      </c>
      <c r="K54" s="63" t="n">
        <f aca="false">K25/K22</f>
        <v>0.502288491483037</v>
      </c>
      <c r="L54" s="63" t="n">
        <f aca="false">L25/L22</f>
        <v>1.31947158228266</v>
      </c>
      <c r="M54" s="63" t="n">
        <f aca="false">M25/M22</f>
        <v>0.424239338865414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0.20407240137887</v>
      </c>
      <c r="C55" s="31" t="n">
        <f aca="false">(C22-C20)/C16</f>
        <v>0.167862468204543</v>
      </c>
      <c r="D55" s="31" t="n">
        <f aca="false">(D22-D20)/D16</f>
        <v>0.156506751304243</v>
      </c>
      <c r="E55" s="31" t="n">
        <f aca="false">(E22-E20)/E16</f>
        <v>0.18072165633514</v>
      </c>
      <c r="F55" s="31" t="n">
        <f aca="false">(F22-F20)/F16</f>
        <v>0.178294622409035</v>
      </c>
      <c r="H55" s="29" t="s">
        <v>66</v>
      </c>
      <c r="I55" s="63" t="n">
        <f aca="false">I22/I11</f>
        <v>0.251525943888394</v>
      </c>
      <c r="J55" s="63" t="n">
        <f aca="false">J22/J11</f>
        <v>0.244467256993866</v>
      </c>
      <c r="K55" s="63" t="n">
        <f aca="false">K22/K11</f>
        <v>0.272830525916248</v>
      </c>
      <c r="L55" s="63" t="n">
        <f aca="false">L22/L11</f>
        <v>0.282650503836791</v>
      </c>
      <c r="M55" s="63" t="n">
        <f aca="false">M22/M11</f>
        <v>0.293599638487166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0.256395684396931</v>
      </c>
      <c r="C56" s="31" t="n">
        <f aca="false">(C22-C20)/C20</f>
        <v>0.201724428703938</v>
      </c>
      <c r="D56" s="31" t="n">
        <f aca="false">(D22-D20)/D20</f>
        <v>0.185545944257692</v>
      </c>
      <c r="E56" s="31" t="n">
        <f aca="false">(E22-E20)/E20</f>
        <v>0.220586395005539</v>
      </c>
      <c r="F56" s="31" t="n">
        <f aca="false">(F22-F20)/F20</f>
        <v>0.216981204299465</v>
      </c>
      <c r="H56" s="33" t="s">
        <v>68</v>
      </c>
      <c r="I56" s="34" t="n">
        <f aca="false">I13/B16</f>
        <v>0.264186416297749</v>
      </c>
      <c r="J56" s="34" t="n">
        <f aca="false">J13/C16</f>
        <v>0.285823188793842</v>
      </c>
      <c r="K56" s="34" t="n">
        <f aca="false">K13/D16</f>
        <v>0.299341148208892</v>
      </c>
      <c r="L56" s="34" t="n">
        <f aca="false">L13/E16</f>
        <v>0.317624856418678</v>
      </c>
      <c r="M56" s="34" t="n">
        <f aca="false">M13/F16</f>
        <v>0.291203378001263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0.711692232280144</v>
      </c>
      <c r="C57" s="30" t="n">
        <f aca="false">J11/C16</f>
        <v>0.781868010962412</v>
      </c>
      <c r="D57" s="30" t="n">
        <f aca="false">K11/D16</f>
        <v>0.817505149242305</v>
      </c>
      <c r="E57" s="30" t="n">
        <f aca="false">L11/E16</f>
        <v>0.814060622169905</v>
      </c>
      <c r="F57" s="30" t="n">
        <f aca="false">M11/F16</f>
        <v>0.701462637920664</v>
      </c>
      <c r="H57" s="33" t="s">
        <v>70</v>
      </c>
      <c r="I57" s="35" t="n">
        <f aca="false">I25/$C$5</f>
        <v>-0.045465947045175</v>
      </c>
      <c r="J57" s="35" t="n">
        <f aca="false">J25/$C$5</f>
        <v>-0.0536853052161841</v>
      </c>
      <c r="K57" s="35" t="n">
        <f aca="false">K25/$C$5</f>
        <v>0.044091733852041</v>
      </c>
      <c r="L57" s="35" t="n">
        <f aca="false">L25/$C$5</f>
        <v>0.106830144475516</v>
      </c>
      <c r="M57" s="35" t="n">
        <f aca="false">M25/$C$5</f>
        <v>0.0334033347869218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1.25639568439693</v>
      </c>
      <c r="C58" s="30" t="n">
        <f aca="false">C16/C20</f>
        <v>1.20172442870394</v>
      </c>
      <c r="D58" s="30" t="n">
        <f aca="false">D16/D20</f>
        <v>1.18554594425769</v>
      </c>
      <c r="E58" s="30" t="n">
        <f aca="false">E16/E20</f>
        <v>1.22058639500554</v>
      </c>
      <c r="F58" s="30" t="n">
        <f aca="false">F16/F20</f>
        <v>1.21698120429947</v>
      </c>
      <c r="H58" s="36" t="s">
        <v>72</v>
      </c>
      <c r="I58" s="37" t="n">
        <f aca="false">I22/$C$7/1000</f>
        <v>3.64710886287779</v>
      </c>
      <c r="J58" s="37" t="n">
        <f aca="false">J22/$C$7/1000</f>
        <v>3.30274338892819</v>
      </c>
      <c r="K58" s="37" t="n">
        <f aca="false">K22/$C$7/1000</f>
        <v>3.49371129255257</v>
      </c>
      <c r="L58" s="37" t="n">
        <f aca="false">L22/$C$7/1000</f>
        <v>3.22238063212466</v>
      </c>
      <c r="M58" s="37" t="n">
        <f aca="false">M22/$C$7/1000</f>
        <v>3.13373272609535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16.2161322522954</v>
      </c>
      <c r="J59" s="37" t="n">
        <f aca="false">C20/$C$7/1000</f>
        <v>14.3785733661158</v>
      </c>
      <c r="K59" s="37" t="n">
        <f aca="false">D20/$C$7/1000</f>
        <v>13.2125050852231</v>
      </c>
      <c r="L59" s="37" t="n">
        <f aca="false">E20/$C$7/1000</f>
        <v>11.4736554031056</v>
      </c>
      <c r="M59" s="37" t="n">
        <f aca="false">F20/$C$7/1000</f>
        <v>12.5031091245566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36.4786923055948</v>
      </c>
      <c r="J60" s="38" t="n">
        <f aca="false">SQRT(22.5*J58*J59)</f>
        <v>32.6878663705824</v>
      </c>
      <c r="K60" s="38" t="n">
        <f aca="false">SQRT(22.5*K58*K59)</f>
        <v>32.2275543585132</v>
      </c>
      <c r="L60" s="38" t="n">
        <f aca="false">SQRT(22.5*L58*L59)</f>
        <v>28.8423458024724</v>
      </c>
      <c r="M60" s="38" t="n">
        <f aca="false">SQRT(22.5*M58*M59)</f>
        <v>29.691439009169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2.34981828269415</v>
      </c>
      <c r="J61" s="39" t="n">
        <f aca="false">J58-(C20*0.08/1000/$C$7)</f>
        <v>2.15245751963893</v>
      </c>
      <c r="K61" s="39" t="n">
        <f aca="false">K58-(D20*0.08/1000/$C$7)</f>
        <v>2.43671088573473</v>
      </c>
      <c r="L61" s="39" t="n">
        <f aca="false">L58-(E20*0.08/1000/$C$7)</f>
        <v>2.30448819987622</v>
      </c>
      <c r="M61" s="39" t="n">
        <f aca="false">M58-(F20*0.08/1000/$C$7)</f>
        <v>2.13348399613082</v>
      </c>
      <c r="O61" s="6"/>
    </row>
    <row r="62" customFormat="false" ht="15" hidden="false" customHeight="false" outlineLevel="0" collapsed="false">
      <c r="H62" s="2" t="s">
        <v>76</v>
      </c>
      <c r="I62" s="41" t="n">
        <f aca="false">I25/$C$7/1000</f>
        <v>-1.80954465888735</v>
      </c>
      <c r="J62" s="41" t="n">
        <f aca="false">J25/$C$7/1000</f>
        <v>-2.13667510803545</v>
      </c>
      <c r="K62" s="41" t="n">
        <f aca="false">K25/$C$7/1000</f>
        <v>1.75485097481348</v>
      </c>
      <c r="L62" s="41" t="n">
        <f aca="false">L25/$C$7/1000</f>
        <v>4.25183967138652</v>
      </c>
      <c r="M62" s="41" t="n">
        <f aca="false">M25/$C$7/1000</f>
        <v>1.32945269989961</v>
      </c>
      <c r="O62" s="6"/>
    </row>
    <row r="63" customFormat="false" ht="15" hidden="false" customHeight="false" outlineLevel="0" collapsed="false">
      <c r="A63" s="2"/>
      <c r="H63" s="6"/>
      <c r="I63" s="83"/>
      <c r="J63" s="83"/>
      <c r="K63" s="83"/>
      <c r="L63" s="83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3.87001553816455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0.000361270694281152</v>
      </c>
      <c r="K74" s="6" t="n">
        <f aca="false">K59*$C$7/$C$5</f>
        <v>0.000331972495726204</v>
      </c>
      <c r="L74" s="6" t="n">
        <f aca="false">L59*$C$7/$C$5</f>
        <v>0.000288282804411658</v>
      </c>
      <c r="M74" s="6" t="n">
        <f aca="false">M59*$C$7/$C$5</f>
        <v>0.000314148476283902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9.93026678838376E-005</v>
      </c>
      <c r="K77" s="28" t="n">
        <f aca="false">(K15-K16)/$C$6</f>
        <v>0.000100878152025114</v>
      </c>
      <c r="L77" s="28" t="n">
        <f aca="false">(L15-L16)/$C$6</f>
        <v>9.3018368830959E-005</v>
      </c>
      <c r="M77" s="28" t="n">
        <f aca="false">(M15-M16)/$C$6</f>
        <v>8.85006269684637E-005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4260</v>
      </c>
      <c r="C1" s="1" t="n">
        <v>4260</v>
      </c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IFERROR(__xludf.dummyfunction("GoogleFinance(""TADAWUL:""&amp;B1,""eps"")"),"2.29")</f>
        <v>2.29</v>
      </c>
      <c r="C2" s="0" t="str">
        <f aca="false">IFERROR(__xludf.dummyfunction("GoogleFinance(""TADAWUL:""&amp;B1,""eps"")"),"2.29")</f>
        <v>2.29</v>
      </c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IFERROR(__xludf.dummyfunction("GoogleFinance(""TADAWUL:""&amp;B1,""marketcap"")/1000"),"1,745,736.79")</f>
        <v>1,745,736.79</v>
      </c>
      <c r="C5" s="3" t="str">
        <f aca="false">IFERROR(__xludf.dummyfunction("GoogleFinance(""TADAWUL:""&amp;B1,""marketcap"")/1000"),"1,745,736.79")</f>
        <v>1,745,736.79</v>
      </c>
    </row>
    <row r="6" customFormat="false" ht="15" hidden="false" customHeight="false" outlineLevel="0" collapsed="false">
      <c r="A6" s="2" t="s">
        <v>1</v>
      </c>
      <c r="B6" s="4" t="n">
        <f aca="false">B5*1000+(B22-B20)-P23</f>
        <v>1746360504</v>
      </c>
      <c r="C6" s="4" t="n">
        <f aca="false">C5*1000+(C22-C20)-Q23</f>
        <v>1746516002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IFERROR(__xludf.dummyfunction("GoogleFinance(""TADAWUL:""&amp;B1,""shares"")/1000000"),"71.196442")</f>
        <v>71.196442</v>
      </c>
      <c r="C7" s="5" t="str">
        <f aca="false">IFERROR(__xludf.dummyfunction("GoogleFinance(""TADAWUL:""&amp;B1,""shares"")/1000000"),"71.196442")</f>
        <v>71.196442</v>
      </c>
    </row>
    <row r="9" customFormat="false" ht="15" hidden="false" customHeight="false" outlineLevel="0" collapsed="false">
      <c r="J9" s="84" t="n">
        <f aca="false">J12+J17</f>
        <v>735067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222268</v>
      </c>
      <c r="C11" s="11" t="n">
        <v>174280</v>
      </c>
      <c r="D11" s="11" t="n">
        <v>167704</v>
      </c>
      <c r="E11" s="11" t="n">
        <v>156123</v>
      </c>
      <c r="F11" s="12" t="n">
        <v>111178</v>
      </c>
      <c r="H11" s="10" t="s">
        <v>7</v>
      </c>
      <c r="I11" s="11" t="n">
        <v>1010088</v>
      </c>
      <c r="J11" s="11" t="n">
        <v>1018743</v>
      </c>
      <c r="K11" s="11" t="n">
        <v>893069</v>
      </c>
      <c r="L11" s="11" t="n">
        <v>780160</v>
      </c>
      <c r="M11" s="12" t="n">
        <v>694642</v>
      </c>
      <c r="O11" s="10" t="s">
        <v>8</v>
      </c>
      <c r="P11" s="11" t="n">
        <v>174450</v>
      </c>
      <c r="Q11" s="11" t="n">
        <v>188768</v>
      </c>
      <c r="R11" s="11" t="n">
        <v>171051</v>
      </c>
      <c r="S11" s="11" t="n">
        <v>150207</v>
      </c>
      <c r="T11" s="12" t="n">
        <v>125776</v>
      </c>
    </row>
    <row r="12" customFormat="false" ht="15" hidden="false" customHeight="false" outlineLevel="0" collapsed="false">
      <c r="A12" s="10" t="s">
        <v>9</v>
      </c>
      <c r="B12" s="11" t="n">
        <v>2152</v>
      </c>
      <c r="C12" s="11" t="n">
        <v>3643</v>
      </c>
      <c r="D12" s="11" t="n">
        <v>4288</v>
      </c>
      <c r="E12" s="11" t="n">
        <v>4761</v>
      </c>
      <c r="F12" s="12" t="n">
        <v>4234</v>
      </c>
      <c r="H12" s="10" t="s">
        <v>10</v>
      </c>
      <c r="I12" s="11" t="n">
        <v>211421</v>
      </c>
      <c r="J12" s="11" t="n">
        <v>232432</v>
      </c>
      <c r="K12" s="11" t="n">
        <v>206979</v>
      </c>
      <c r="L12" s="11" t="n">
        <v>170060</v>
      </c>
      <c r="M12" s="12" t="n">
        <v>160549</v>
      </c>
      <c r="O12" s="10" t="s">
        <v>11</v>
      </c>
      <c r="P12" s="11" t="n">
        <v>520673</v>
      </c>
      <c r="Q12" s="11" t="n">
        <v>502635</v>
      </c>
      <c r="R12" s="11" t="n">
        <v>431183</v>
      </c>
      <c r="S12" s="11" t="n">
        <v>383614</v>
      </c>
      <c r="T12" s="12" t="n">
        <v>330310</v>
      </c>
    </row>
    <row r="13" customFormat="false" ht="15" hidden="false" customHeight="false" outlineLevel="0" collapsed="false">
      <c r="A13" s="10" t="s">
        <v>12</v>
      </c>
      <c r="B13" s="11" t="n">
        <v>17951</v>
      </c>
      <c r="C13" s="11" t="n">
        <v>26061</v>
      </c>
      <c r="D13" s="11" t="n">
        <v>27919</v>
      </c>
      <c r="E13" s="18"/>
      <c r="F13" s="12" t="n">
        <v>27161</v>
      </c>
      <c r="H13" s="10" t="s">
        <v>13</v>
      </c>
      <c r="I13" s="11" t="n">
        <v>798667</v>
      </c>
      <c r="J13" s="11" t="n">
        <v>786311</v>
      </c>
      <c r="K13" s="11" t="n">
        <v>686090</v>
      </c>
      <c r="L13" s="11" t="n">
        <v>610100</v>
      </c>
      <c r="M13" s="12" t="n">
        <v>534093</v>
      </c>
      <c r="O13" s="10" t="s">
        <v>14</v>
      </c>
      <c r="P13" s="13" t="n">
        <v>-40763</v>
      </c>
      <c r="Q13" s="13" t="n">
        <v>-19448</v>
      </c>
      <c r="R13" s="13" t="n">
        <v>-14753</v>
      </c>
      <c r="S13" s="13" t="n">
        <v>-16197</v>
      </c>
      <c r="T13" s="12" t="n">
        <v>21890</v>
      </c>
    </row>
    <row r="14" customFormat="false" ht="15" hidden="false" customHeight="false" outlineLevel="0" collapsed="false">
      <c r="A14" s="10" t="s">
        <v>15</v>
      </c>
      <c r="B14" s="11" t="n">
        <v>1397426</v>
      </c>
      <c r="C14" s="11" t="n">
        <v>1498810</v>
      </c>
      <c r="D14" s="11" t="n">
        <v>1363072</v>
      </c>
      <c r="E14" s="11" t="n">
        <v>1181310</v>
      </c>
      <c r="F14" s="12" t="n">
        <v>1003139</v>
      </c>
      <c r="H14" s="10" t="s">
        <v>16</v>
      </c>
      <c r="I14" s="11" t="n">
        <v>9577</v>
      </c>
      <c r="J14" s="11" t="n">
        <v>3477</v>
      </c>
      <c r="K14" s="11" t="n">
        <v>2952</v>
      </c>
      <c r="L14" s="11" t="n">
        <v>4880</v>
      </c>
      <c r="M14" s="12" t="n">
        <v>3125</v>
      </c>
      <c r="O14" s="10" t="s">
        <v>9</v>
      </c>
      <c r="P14" s="11" t="n">
        <v>1491</v>
      </c>
      <c r="Q14" s="11" t="n">
        <v>644</v>
      </c>
      <c r="R14" s="11" t="n">
        <v>473</v>
      </c>
      <c r="S14" s="13" t="n">
        <v>-525</v>
      </c>
      <c r="T14" s="14" t="n">
        <v>-122</v>
      </c>
    </row>
    <row r="15" customFormat="false" ht="15" hidden="false" customHeight="false" outlineLevel="0" collapsed="false">
      <c r="A15" s="10" t="s">
        <v>17</v>
      </c>
      <c r="B15" s="18"/>
      <c r="C15" s="18"/>
      <c r="D15" s="18"/>
      <c r="E15" s="18"/>
      <c r="F15" s="45" t="n">
        <v>0</v>
      </c>
      <c r="H15" s="10" t="s">
        <v>18</v>
      </c>
      <c r="I15" s="11" t="n">
        <v>808244</v>
      </c>
      <c r="J15" s="11" t="n">
        <v>789788</v>
      </c>
      <c r="K15" s="11" t="n">
        <v>689042</v>
      </c>
      <c r="L15" s="11" t="n">
        <v>614980</v>
      </c>
      <c r="M15" s="12" t="n">
        <v>537218</v>
      </c>
      <c r="O15" s="10" t="s">
        <v>19</v>
      </c>
      <c r="P15" s="13" t="n">
        <v>-5743</v>
      </c>
      <c r="Q15" s="11" t="n">
        <v>16774</v>
      </c>
      <c r="R15" s="13" t="n">
        <v>-13907</v>
      </c>
      <c r="S15" s="11" t="n">
        <v>2210</v>
      </c>
      <c r="T15" s="14" t="n">
        <v>-735</v>
      </c>
    </row>
    <row r="16" customFormat="false" ht="15" hidden="false" customHeight="false" outlineLevel="0" collapsed="false">
      <c r="A16" s="10" t="s">
        <v>20</v>
      </c>
      <c r="B16" s="11" t="n">
        <v>1639797</v>
      </c>
      <c r="C16" s="11" t="n">
        <v>1702794</v>
      </c>
      <c r="D16" s="11" t="n">
        <v>1562983</v>
      </c>
      <c r="E16" s="11" t="n">
        <v>1342194</v>
      </c>
      <c r="F16" s="12" t="n">
        <v>1145712</v>
      </c>
      <c r="H16" s="10" t="s">
        <v>21</v>
      </c>
      <c r="I16" s="11" t="n">
        <v>81463</v>
      </c>
      <c r="J16" s="11" t="n">
        <v>75792</v>
      </c>
      <c r="K16" s="11" t="n">
        <v>66307</v>
      </c>
      <c r="L16" s="11" t="n">
        <v>63006</v>
      </c>
      <c r="M16" s="12" t="n">
        <v>66965</v>
      </c>
      <c r="O16" s="10" t="s">
        <v>22</v>
      </c>
      <c r="P16" s="11" t="n">
        <v>24117</v>
      </c>
      <c r="Q16" s="11" t="n">
        <v>11990</v>
      </c>
      <c r="R16" s="13" t="n">
        <v>-21084</v>
      </c>
      <c r="S16" s="11" t="n">
        <v>4445</v>
      </c>
      <c r="T16" s="14" t="n">
        <v>-39378</v>
      </c>
    </row>
    <row r="17" customFormat="false" ht="15" hidden="false" customHeight="false" outlineLevel="0" collapsed="false">
      <c r="A17" s="10" t="s">
        <v>23</v>
      </c>
      <c r="B17" s="11" t="n">
        <v>513653</v>
      </c>
      <c r="C17" s="11" t="n">
        <v>516376</v>
      </c>
      <c r="D17" s="11" t="n">
        <v>472801</v>
      </c>
      <c r="E17" s="11" t="n">
        <v>423502</v>
      </c>
      <c r="F17" s="12" t="n">
        <v>357050</v>
      </c>
      <c r="H17" s="10" t="s">
        <v>11</v>
      </c>
      <c r="I17" s="11" t="n">
        <v>520673</v>
      </c>
      <c r="J17" s="11" t="n">
        <v>502635</v>
      </c>
      <c r="K17" s="11" t="n">
        <v>431140</v>
      </c>
      <c r="L17" s="11" t="n">
        <v>383614</v>
      </c>
      <c r="M17" s="12" t="n">
        <v>330311</v>
      </c>
      <c r="O17" s="10" t="s">
        <v>24</v>
      </c>
      <c r="P17" s="13" t="n">
        <v>-117130</v>
      </c>
      <c r="Q17" s="13" t="n">
        <v>-93937</v>
      </c>
      <c r="R17" s="13" t="n">
        <v>-104574</v>
      </c>
      <c r="S17" s="13" t="n">
        <v>-109836</v>
      </c>
      <c r="T17" s="14" t="n">
        <v>-107838</v>
      </c>
    </row>
    <row r="18" customFormat="false" ht="15" hidden="false" customHeight="false" outlineLevel="0" collapsed="false">
      <c r="A18" s="10" t="s">
        <v>25</v>
      </c>
      <c r="B18" s="11" t="n">
        <v>130806</v>
      </c>
      <c r="C18" s="11" t="n">
        <v>284914</v>
      </c>
      <c r="D18" s="11" t="n">
        <v>303208</v>
      </c>
      <c r="E18" s="11" t="n">
        <v>229982</v>
      </c>
      <c r="F18" s="12" t="n">
        <v>195118</v>
      </c>
      <c r="H18" s="10" t="s">
        <v>26</v>
      </c>
      <c r="I18" s="11" t="n">
        <v>24173</v>
      </c>
      <c r="J18" s="11" t="n">
        <v>16822</v>
      </c>
      <c r="K18" s="11" t="n">
        <v>13973</v>
      </c>
      <c r="L18" s="11" t="n">
        <v>13278</v>
      </c>
      <c r="M18" s="12" t="n">
        <v>9509</v>
      </c>
      <c r="O18" s="10" t="s">
        <v>27</v>
      </c>
      <c r="P18" s="13" t="n">
        <v>-594505</v>
      </c>
      <c r="Q18" s="13" t="n">
        <v>-781908</v>
      </c>
      <c r="R18" s="13" t="n">
        <v>-764394</v>
      </c>
      <c r="S18" s="13" t="n">
        <v>-634883</v>
      </c>
      <c r="T18" s="14" t="n">
        <v>-571347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12" t="n">
        <v>95</v>
      </c>
      <c r="H19" s="10" t="s">
        <v>29</v>
      </c>
      <c r="I19" s="11" t="n">
        <v>626309</v>
      </c>
      <c r="J19" s="11" t="n">
        <v>595249</v>
      </c>
      <c r="K19" s="11" t="n">
        <v>511420</v>
      </c>
      <c r="L19" s="11" t="n">
        <v>459898</v>
      </c>
      <c r="M19" s="12" t="n">
        <v>406785</v>
      </c>
      <c r="O19" s="10" t="s">
        <v>30</v>
      </c>
      <c r="P19" s="11" t="n">
        <v>314614</v>
      </c>
      <c r="Q19" s="11" t="n">
        <v>275075</v>
      </c>
      <c r="R19" s="11" t="n">
        <v>252319</v>
      </c>
      <c r="S19" s="11" t="n">
        <v>191461</v>
      </c>
      <c r="T19" s="12" t="n">
        <v>168283</v>
      </c>
    </row>
    <row r="20" customFormat="false" ht="15" hidden="false" customHeight="false" outlineLevel="0" collapsed="false">
      <c r="A20" s="10" t="s">
        <v>31</v>
      </c>
      <c r="B20" s="11" t="n">
        <v>995338</v>
      </c>
      <c r="C20" s="11" t="n">
        <v>901504</v>
      </c>
      <c r="D20" s="11" t="n">
        <v>786447</v>
      </c>
      <c r="E20" s="11" t="n">
        <v>688710</v>
      </c>
      <c r="F20" s="12" t="n">
        <v>593449</v>
      </c>
      <c r="H20" s="10" t="s">
        <v>32</v>
      </c>
      <c r="I20" s="11" t="n">
        <v>181935</v>
      </c>
      <c r="J20" s="11" t="n">
        <v>194539</v>
      </c>
      <c r="K20" s="11" t="n">
        <v>177622</v>
      </c>
      <c r="L20" s="11" t="n">
        <v>155082</v>
      </c>
      <c r="M20" s="12" t="n">
        <v>130433</v>
      </c>
      <c r="O20" s="10" t="s">
        <v>33</v>
      </c>
      <c r="P20" s="13" t="n">
        <v>-184424</v>
      </c>
      <c r="Q20" s="13" t="n">
        <v>-6509</v>
      </c>
      <c r="R20" s="11" t="n">
        <v>143477</v>
      </c>
      <c r="S20" s="11" t="n">
        <v>90429</v>
      </c>
      <c r="T20" s="12" t="n">
        <v>109341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8"/>
      <c r="F21" s="17"/>
      <c r="H21" s="10" t="s">
        <v>35</v>
      </c>
      <c r="I21" s="11" t="n">
        <v>7485</v>
      </c>
      <c r="J21" s="11" t="n">
        <v>5771</v>
      </c>
      <c r="K21" s="11" t="n">
        <v>6572</v>
      </c>
      <c r="L21" s="11" t="n">
        <v>4875</v>
      </c>
      <c r="M21" s="12" t="n">
        <v>4657</v>
      </c>
      <c r="O21" s="10" t="s">
        <v>36</v>
      </c>
      <c r="P21" s="13" t="n">
        <v>-94113</v>
      </c>
      <c r="Q21" s="13" t="n">
        <v>-91774</v>
      </c>
      <c r="R21" s="13" t="n">
        <v>-86759</v>
      </c>
      <c r="S21" s="13" t="n">
        <v>-51356</v>
      </c>
      <c r="T21" s="14" t="n">
        <v>-45726</v>
      </c>
    </row>
    <row r="22" customFormat="false" ht="15" hidden="false" customHeight="false" outlineLevel="0" collapsed="false">
      <c r="A22" s="10" t="s">
        <v>37</v>
      </c>
      <c r="B22" s="11" t="n">
        <v>1639797</v>
      </c>
      <c r="C22" s="11" t="n">
        <v>1702794</v>
      </c>
      <c r="D22" s="11" t="n">
        <v>1562983</v>
      </c>
      <c r="E22" s="11" t="n">
        <v>1342194</v>
      </c>
      <c r="F22" s="12" t="n">
        <v>1145712</v>
      </c>
      <c r="H22" s="10" t="s">
        <v>8</v>
      </c>
      <c r="I22" s="11" t="n">
        <v>174450</v>
      </c>
      <c r="J22" s="11" t="n">
        <v>188768</v>
      </c>
      <c r="K22" s="11" t="n">
        <v>171050</v>
      </c>
      <c r="L22" s="11" t="n">
        <v>150207</v>
      </c>
      <c r="M22" s="12" t="n">
        <v>125776</v>
      </c>
      <c r="O22" s="10" t="s">
        <v>38</v>
      </c>
      <c r="P22" s="11" t="n">
        <v>22078</v>
      </c>
      <c r="Q22" s="11" t="n">
        <v>19768</v>
      </c>
      <c r="R22" s="11" t="n">
        <v>26736</v>
      </c>
      <c r="S22" s="11" t="n">
        <v>17167</v>
      </c>
      <c r="T22" s="12" t="n">
        <v>26713</v>
      </c>
    </row>
    <row r="23" customFormat="false" ht="15" hidden="false" customHeight="false" outlineLevel="0" collapsed="false">
      <c r="H23" s="10" t="s">
        <v>39</v>
      </c>
      <c r="I23" s="11" t="n">
        <v>278235</v>
      </c>
      <c r="J23" s="11" t="n">
        <v>283691</v>
      </c>
      <c r="K23" s="11" t="n">
        <v>304412</v>
      </c>
      <c r="L23" s="11" t="n">
        <v>285559</v>
      </c>
      <c r="M23" s="12" t="n">
        <v>282803</v>
      </c>
      <c r="O23" s="10" t="s">
        <v>40</v>
      </c>
      <c r="P23" s="11" t="n">
        <v>20745</v>
      </c>
      <c r="Q23" s="11" t="n">
        <v>22078</v>
      </c>
      <c r="R23" s="11" t="n">
        <v>19768</v>
      </c>
      <c r="S23" s="11" t="n">
        <v>26736</v>
      </c>
      <c r="T23" s="12" t="n">
        <v>17167</v>
      </c>
    </row>
    <row r="24" customFormat="false" ht="15" hidden="false" customHeight="false" outlineLevel="0" collapsed="false">
      <c r="H24" s="10" t="s">
        <v>41</v>
      </c>
      <c r="I24" s="11" t="n">
        <v>17445</v>
      </c>
      <c r="J24" s="11" t="n">
        <v>18877</v>
      </c>
      <c r="K24" s="11" t="n">
        <v>17105</v>
      </c>
      <c r="L24" s="11" t="n">
        <v>15021</v>
      </c>
      <c r="M24" s="12" t="n">
        <v>12578</v>
      </c>
      <c r="O24" s="2" t="s">
        <v>42</v>
      </c>
      <c r="P24" s="12" t="n">
        <f aca="false">SUM(P11:P17)</f>
        <v>557095</v>
      </c>
      <c r="Q24" s="12" t="n">
        <f aca="false">SUM(Q11:Q17)</f>
        <v>607426</v>
      </c>
      <c r="R24" s="12" t="n">
        <f aca="false">SUM(R11:R17)</f>
        <v>448389</v>
      </c>
      <c r="S24" s="12" t="n">
        <f aca="false">SUM(S11:S17)</f>
        <v>413918</v>
      </c>
      <c r="T24" s="12" t="n">
        <f aca="false">SUM(T11:T17)</f>
        <v>329903</v>
      </c>
    </row>
    <row r="25" customFormat="false" ht="15" hidden="false" customHeight="false" outlineLevel="0" collapsed="false">
      <c r="H25" s="10" t="s">
        <v>43</v>
      </c>
      <c r="I25" s="11" t="n">
        <v>76250</v>
      </c>
      <c r="J25" s="11" t="n">
        <v>69133</v>
      </c>
      <c r="K25" s="11" t="n">
        <v>68625</v>
      </c>
      <c r="L25" s="11" t="n">
        <v>51240</v>
      </c>
      <c r="M25" s="12" t="n">
        <v>45750</v>
      </c>
      <c r="O25" s="2" t="s">
        <v>44</v>
      </c>
      <c r="P25" s="12" t="n">
        <f aca="false">P18+P19</f>
        <v>-279891</v>
      </c>
      <c r="Q25" s="12" t="n">
        <f aca="false">Q18+Q19</f>
        <v>-506833</v>
      </c>
      <c r="R25" s="12" t="n">
        <f aca="false">R18+R19</f>
        <v>-512075</v>
      </c>
      <c r="S25" s="12" t="n">
        <f aca="false">S18+S19</f>
        <v>-443422</v>
      </c>
      <c r="T25" s="12" t="n">
        <f aca="false">T18+T19</f>
        <v>-403064</v>
      </c>
    </row>
    <row r="26" customFormat="false" ht="15" hidden="false" customHeight="false" outlineLevel="0" collapsed="false">
      <c r="H26" s="10" t="s">
        <v>45</v>
      </c>
      <c r="I26" s="11" t="n">
        <v>106032</v>
      </c>
      <c r="J26" s="11" t="n">
        <v>106214</v>
      </c>
      <c r="K26" s="11" t="n">
        <v>106042</v>
      </c>
      <c r="L26" s="11" t="n">
        <v>65092</v>
      </c>
      <c r="M26" s="12" t="n">
        <v>64692</v>
      </c>
      <c r="O26" s="2" t="s">
        <v>46</v>
      </c>
      <c r="P26" s="12" t="n">
        <f aca="false">P20+P21</f>
        <v>-278537</v>
      </c>
      <c r="Q26" s="12" t="n">
        <f aca="false">Q20+Q21</f>
        <v>-98283</v>
      </c>
      <c r="R26" s="12" t="n">
        <f aca="false">R20+R21</f>
        <v>56718</v>
      </c>
      <c r="S26" s="12" t="n">
        <f aca="false">S20+S21</f>
        <v>39073</v>
      </c>
      <c r="T26" s="12" t="n">
        <f aca="false">T20+T21</f>
        <v>63615</v>
      </c>
    </row>
    <row r="27" customFormat="false" ht="15" hidden="false" customHeight="false" outlineLevel="0" collapsed="false">
      <c r="H27" s="10" t="s">
        <v>47</v>
      </c>
      <c r="I27" s="11" t="n">
        <v>252958</v>
      </c>
      <c r="J27" s="11" t="n">
        <v>278235</v>
      </c>
      <c r="K27" s="11" t="n">
        <v>283690</v>
      </c>
      <c r="L27" s="11" t="n">
        <v>304413</v>
      </c>
      <c r="M27" s="12" t="n">
        <v>285559</v>
      </c>
      <c r="O27" s="2" t="s">
        <v>119</v>
      </c>
      <c r="P27" s="12" t="n">
        <f aca="false">P24+P18+P20</f>
        <v>-221834</v>
      </c>
      <c r="Q27" s="12" t="n">
        <f aca="false">Q24+Q18+Q20</f>
        <v>-180991</v>
      </c>
      <c r="R27" s="12" t="n">
        <f aca="false">R24+R18+R20</f>
        <v>-172528</v>
      </c>
      <c r="S27" s="12" t="n">
        <f aca="false">S24+S18+S20</f>
        <v>-130536</v>
      </c>
      <c r="T27" s="12" t="n">
        <f aca="false">T24+T18+T20</f>
        <v>-132103</v>
      </c>
    </row>
    <row r="28" customFormat="false" ht="15" hidden="false" customHeight="false" outlineLevel="0" collapsed="false">
      <c r="O28" s="2" t="s">
        <v>116</v>
      </c>
      <c r="P28" s="12" t="n">
        <f aca="false">(B11-C11)+(B17-C17)</f>
        <v>45265</v>
      </c>
      <c r="Q28" s="12" t="n">
        <f aca="false">(C11-D11)+(C17-D17)</f>
        <v>50151</v>
      </c>
      <c r="R28" s="12" t="n">
        <f aca="false">(D11-E11)+(D17-E17)</f>
        <v>60880</v>
      </c>
      <c r="S28" s="12" t="n">
        <f aca="false">(E11-F11)+(E17-F17)</f>
        <v>111397</v>
      </c>
      <c r="T28" s="12" t="n">
        <f aca="false">(F11-G11)+(F17-G17)</f>
        <v>468228</v>
      </c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0.135546046248408</v>
      </c>
      <c r="C30" s="24" t="n">
        <f aca="false">C11/C$16</f>
        <v>0.102349432755812</v>
      </c>
      <c r="D30" s="24" t="n">
        <f aca="false">D11/D$16</f>
        <v>0.107297392230114</v>
      </c>
      <c r="E30" s="24" t="n">
        <f aca="false">E11/E$16</f>
        <v>0.116319250421325</v>
      </c>
      <c r="F30" s="24" t="n">
        <f aca="false">F11/F$16</f>
        <v>0.097038348206181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0.172707724475491</v>
      </c>
      <c r="Q30" s="26" t="n">
        <f aca="false">Q11/J$11</f>
        <v>0.185295015524033</v>
      </c>
      <c r="R30" s="26" t="n">
        <f aca="false">R11/K$11</f>
        <v>0.191531673364544</v>
      </c>
      <c r="S30" s="26" t="n">
        <f aca="false">S11/L$11</f>
        <v>0.192533582854799</v>
      </c>
      <c r="T30" s="26" t="n">
        <f aca="false">T11/M$11</f>
        <v>0.18106593036413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0.00131235756621094</v>
      </c>
      <c r="C31" s="24" t="n">
        <f aca="false">C12/C$16</f>
        <v>0.00213942496861041</v>
      </c>
      <c r="D31" s="24" t="n">
        <f aca="false">D12/D$16</f>
        <v>0.00274347193795454</v>
      </c>
      <c r="E31" s="24" t="n">
        <f aca="false">E12/E$16</f>
        <v>0.00354717723369349</v>
      </c>
      <c r="F31" s="24" t="n">
        <f aca="false">F12/F$16</f>
        <v>0.00369551859455081</v>
      </c>
      <c r="G31" s="6"/>
      <c r="H31" s="25" t="s">
        <v>10</v>
      </c>
      <c r="I31" s="24" t="n">
        <f aca="false">I12/I$11</f>
        <v>0.209309485906178</v>
      </c>
      <c r="J31" s="24" t="n">
        <f aca="false">J12/J$11</f>
        <v>0.228155678124905</v>
      </c>
      <c r="K31" s="24" t="n">
        <f aca="false">K12/K$11</f>
        <v>0.231761487634214</v>
      </c>
      <c r="L31" s="24" t="n">
        <f aca="false">L12/L$11</f>
        <v>0.217980926989335</v>
      </c>
      <c r="M31" s="24" t="n">
        <f aca="false">M12/M$11</f>
        <v>0.231124809614161</v>
      </c>
      <c r="N31" s="6"/>
      <c r="O31" s="25" t="s">
        <v>11</v>
      </c>
      <c r="P31" s="26" t="n">
        <f aca="false">P12/I$11</f>
        <v>0.515472909291072</v>
      </c>
      <c r="Q31" s="26" t="n">
        <f aca="false">Q12/J$11</f>
        <v>0.493387439226576</v>
      </c>
      <c r="R31" s="26" t="n">
        <f aca="false">R12/K$11</f>
        <v>0.482810398748585</v>
      </c>
      <c r="S31" s="26" t="n">
        <f aca="false">S12/L$11</f>
        <v>0.491711956521739</v>
      </c>
      <c r="T31" s="26" t="n">
        <f aca="false">T12/M$11</f>
        <v>0.475511126594706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0.0109470867430542</v>
      </c>
      <c r="C32" s="24" t="n">
        <f aca="false">C13/C$16</f>
        <v>0.0153048460353983</v>
      </c>
      <c r="D32" s="24" t="n">
        <f aca="false">D13/D$16</f>
        <v>0.0178626383012483</v>
      </c>
      <c r="E32" s="24" t="n">
        <f aca="false">E13/E$16</f>
        <v>0</v>
      </c>
      <c r="F32" s="24" t="n">
        <f aca="false">F13/F$16</f>
        <v>0.0237066557738769</v>
      </c>
      <c r="G32" s="6"/>
      <c r="H32" s="25" t="s">
        <v>13</v>
      </c>
      <c r="I32" s="24" t="n">
        <f aca="false">I13/I$11</f>
        <v>0.790690514093822</v>
      </c>
      <c r="J32" s="24" t="n">
        <f aca="false">J13/J$11</f>
        <v>0.771844321875095</v>
      </c>
      <c r="K32" s="24" t="n">
        <f aca="false">K13/K$11</f>
        <v>0.768238512365786</v>
      </c>
      <c r="L32" s="24" t="n">
        <f aca="false">L13/L$11</f>
        <v>0.782019073010665</v>
      </c>
      <c r="M32" s="24" t="n">
        <f aca="false">M13/M$11</f>
        <v>0.768875190385839</v>
      </c>
      <c r="N32" s="6"/>
      <c r="O32" s="25" t="s">
        <v>14</v>
      </c>
      <c r="P32" s="26" t="n">
        <f aca="false">P13/I$11</f>
        <v>-0.0403558897838604</v>
      </c>
      <c r="Q32" s="26" t="n">
        <f aca="false">Q13/J$11</f>
        <v>-0.0190901925215682</v>
      </c>
      <c r="R32" s="26" t="n">
        <f aca="false">R13/K$11</f>
        <v>-0.0165194402672134</v>
      </c>
      <c r="S32" s="26" t="n">
        <f aca="false">S13/L$11</f>
        <v>-0.0207611259228876</v>
      </c>
      <c r="T32" s="26" t="n">
        <f aca="false">T13/M$11</f>
        <v>0.031512635285514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0.852194509442327</v>
      </c>
      <c r="C33" s="24" t="n">
        <f aca="false">C14/C$16</f>
        <v>0.880206296240179</v>
      </c>
      <c r="D33" s="24" t="n">
        <f aca="false">D14/D$16</f>
        <v>0.872096497530683</v>
      </c>
      <c r="E33" s="24" t="n">
        <f aca="false">E14/E$16</f>
        <v>0.880133572344981</v>
      </c>
      <c r="F33" s="24" t="n">
        <f aca="false">F14/F$16</f>
        <v>0.875559477425391</v>
      </c>
      <c r="G33" s="6"/>
      <c r="H33" s="25" t="s">
        <v>16</v>
      </c>
      <c r="I33" s="24" t="n">
        <f aca="false">I14/I$11</f>
        <v>0.0094813521198153</v>
      </c>
      <c r="J33" s="24" t="n">
        <f aca="false">J14/J$11</f>
        <v>0.00341302958646096</v>
      </c>
      <c r="K33" s="24" t="n">
        <f aca="false">K14/K$11</f>
        <v>0.0033054556814759</v>
      </c>
      <c r="L33" s="24" t="n">
        <f aca="false">L14/L$11</f>
        <v>0.00625512715340443</v>
      </c>
      <c r="M33" s="24" t="n">
        <f aca="false">M14/M$11</f>
        <v>0.00449872020407635</v>
      </c>
      <c r="N33" s="6"/>
      <c r="O33" s="25" t="s">
        <v>9</v>
      </c>
      <c r="P33" s="26" t="n">
        <f aca="false">P14/I$11</f>
        <v>0.00147610901228408</v>
      </c>
      <c r="Q33" s="26" t="n">
        <f aca="false">Q14/J$11</f>
        <v>0.000632151582882042</v>
      </c>
      <c r="R33" s="26" t="n">
        <f aca="false">R14/K$11</f>
        <v>0.000529634328366565</v>
      </c>
      <c r="S33" s="26" t="n">
        <f aca="false">S14/L$11</f>
        <v>-0.000672938884331419</v>
      </c>
      <c r="T33" s="26" t="n">
        <f aca="false">T14/M$11</f>
        <v>-0.000175630036767141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24" t="n">
        <f aca="false">F15/F$16</f>
        <v>0</v>
      </c>
      <c r="G34" s="6"/>
      <c r="H34" s="25" t="s">
        <v>18</v>
      </c>
      <c r="I34" s="24" t="n">
        <f aca="false">I15/I$11</f>
        <v>0.800171866213637</v>
      </c>
      <c r="J34" s="24" t="n">
        <f aca="false">J15/J$11</f>
        <v>0.775257351461556</v>
      </c>
      <c r="K34" s="24" t="n">
        <f aca="false">K15/K$11</f>
        <v>0.771543968047262</v>
      </c>
      <c r="L34" s="24" t="n">
        <f aca="false">L15/L$11</f>
        <v>0.788274200164069</v>
      </c>
      <c r="M34" s="24" t="n">
        <f aca="false">M15/M$11</f>
        <v>0.773373910589915</v>
      </c>
      <c r="N34" s="6"/>
      <c r="O34" s="25" t="s">
        <v>19</v>
      </c>
      <c r="P34" s="26" t="n">
        <f aca="false">P15/I$11</f>
        <v>-0.00568564323108482</v>
      </c>
      <c r="Q34" s="26" t="n">
        <f aca="false">Q15/J$11</f>
        <v>0.0164653892100363</v>
      </c>
      <c r="R34" s="26" t="n">
        <f aca="false">R15/K$11</f>
        <v>-0.0155721450414246</v>
      </c>
      <c r="S34" s="26" t="n">
        <f aca="false">S15/L$11</f>
        <v>0.0028327522559475</v>
      </c>
      <c r="T34" s="26" t="n">
        <f aca="false">T15/M$11</f>
        <v>-0.00105809899199876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0.0806494087643849</v>
      </c>
      <c r="J35" s="24" t="n">
        <f aca="false">J16/J$11</f>
        <v>0.0743975664127263</v>
      </c>
      <c r="K35" s="24" t="n">
        <f aca="false">K16/K$11</f>
        <v>0.0742462228562407</v>
      </c>
      <c r="L35" s="24" t="n">
        <f aca="false">L16/L$11</f>
        <v>0.0807603568498769</v>
      </c>
      <c r="M35" s="24" t="n">
        <f aca="false">M16/M$11</f>
        <v>0.0964021755091112</v>
      </c>
      <c r="N35" s="6"/>
      <c r="O35" s="25" t="s">
        <v>22</v>
      </c>
      <c r="P35" s="26" t="n">
        <f aca="false">P16/I$11</f>
        <v>0.0238761375246513</v>
      </c>
      <c r="Q35" s="26" t="n">
        <f aca="false">Q16/J$11</f>
        <v>0.0117694060229126</v>
      </c>
      <c r="R35" s="26" t="n">
        <f aca="false">R16/K$11</f>
        <v>-0.0236084781802974</v>
      </c>
      <c r="S35" s="26" t="n">
        <f aca="false">S16/L$11</f>
        <v>0.00569754922067268</v>
      </c>
      <c r="T35" s="26" t="n">
        <f aca="false">T16/M$11</f>
        <v>-0.0566881933427579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0.313241822006017</v>
      </c>
      <c r="C36" s="24" t="n">
        <f aca="false">C17/C$16</f>
        <v>0.303252184351131</v>
      </c>
      <c r="D36" s="24" t="n">
        <f aca="false">D17/D$16</f>
        <v>0.30249913146848</v>
      </c>
      <c r="E36" s="24" t="n">
        <f aca="false">E17/E$16</f>
        <v>0.315529647726037</v>
      </c>
      <c r="F36" s="24" t="n">
        <f aca="false">F17/F$16</f>
        <v>0.311640272599048</v>
      </c>
      <c r="G36" s="6"/>
      <c r="H36" s="25" t="s">
        <v>11</v>
      </c>
      <c r="I36" s="24" t="n">
        <f aca="false">I17/I$11</f>
        <v>0.515472909291072</v>
      </c>
      <c r="J36" s="24" t="n">
        <f aca="false">J17/J$11</f>
        <v>0.493387439226576</v>
      </c>
      <c r="K36" s="24" t="n">
        <f aca="false">K17/K$11</f>
        <v>0.482762250173279</v>
      </c>
      <c r="L36" s="24" t="n">
        <f aca="false">L17/L$11</f>
        <v>0.491711956521739</v>
      </c>
      <c r="M36" s="24" t="n">
        <f aca="false">M17/M$11</f>
        <v>0.475512566185172</v>
      </c>
      <c r="N36" s="6"/>
      <c r="O36" s="25" t="s">
        <v>24</v>
      </c>
      <c r="P36" s="26" t="n">
        <f aca="false">P17/I$11</f>
        <v>-0.115960193567293</v>
      </c>
      <c r="Q36" s="26" t="n">
        <f aca="false">Q17/J$11</f>
        <v>-0.0922087317409788</v>
      </c>
      <c r="R36" s="26" t="n">
        <f aca="false">R17/K$11</f>
        <v>-0.117095095675698</v>
      </c>
      <c r="S36" s="26" t="n">
        <f aca="false">S17/L$11</f>
        <v>-0.14078650533224</v>
      </c>
      <c r="T36" s="26" t="n">
        <f aca="false">T17/M$11</f>
        <v>-0.155242556597499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0.079769630021277</v>
      </c>
      <c r="C37" s="24" t="n">
        <f aca="false">C18/C$16</f>
        <v>0.167321472826425</v>
      </c>
      <c r="D37" s="24" t="n">
        <f aca="false">D18/D$16</f>
        <v>0.193993152836595</v>
      </c>
      <c r="E37" s="24" t="n">
        <f aca="false">E18/E$16</f>
        <v>0.171347808140999</v>
      </c>
      <c r="F37" s="24" t="n">
        <f aca="false">F18/F$16</f>
        <v>0.170302833521862</v>
      </c>
      <c r="G37" s="6"/>
      <c r="H37" s="25" t="s">
        <v>26</v>
      </c>
      <c r="I37" s="24" t="n">
        <f aca="false">I18/I$11</f>
        <v>0.0239315782387277</v>
      </c>
      <c r="J37" s="24" t="n">
        <f aca="false">J18/J$11</f>
        <v>0.0165125060982014</v>
      </c>
      <c r="K37" s="24" t="n">
        <f aca="false">K18/K$11</f>
        <v>0.0156460475058478</v>
      </c>
      <c r="L37" s="24" t="n">
        <f aca="false">L18/L$11</f>
        <v>0.0170195857260049</v>
      </c>
      <c r="M37" s="24" t="n">
        <f aca="false">M18/M$11</f>
        <v>0.0136890657345798</v>
      </c>
      <c r="N37" s="6"/>
      <c r="O37" s="25" t="s">
        <v>27</v>
      </c>
      <c r="P37" s="26" t="n">
        <f aca="false">P18/I$11</f>
        <v>-0.588567530749796</v>
      </c>
      <c r="Q37" s="26" t="n">
        <f aca="false">Q18/J$11</f>
        <v>-0.767522328987782</v>
      </c>
      <c r="R37" s="26" t="n">
        <f aca="false">R18/K$11</f>
        <v>-0.855918187732415</v>
      </c>
      <c r="S37" s="26" t="n">
        <f aca="false">S18/L$11</f>
        <v>-0.813785633716161</v>
      </c>
      <c r="T37" s="26" t="n">
        <f aca="false">T18/M$11</f>
        <v>-0.82250569358029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8.29178711578477E-005</v>
      </c>
      <c r="G38" s="6"/>
      <c r="H38" s="25" t="s">
        <v>29</v>
      </c>
      <c r="I38" s="24" t="n">
        <f aca="false">I19/I$11</f>
        <v>0.620053896294184</v>
      </c>
      <c r="J38" s="24" t="n">
        <f aca="false">J19/J$11</f>
        <v>0.584297511737504</v>
      </c>
      <c r="K38" s="24" t="n">
        <f aca="false">K19/K$11</f>
        <v>0.572654520535367</v>
      </c>
      <c r="L38" s="24" t="n">
        <f aca="false">L19/L$11</f>
        <v>0.589491899097621</v>
      </c>
      <c r="M38" s="24" t="n">
        <f aca="false">M19/M$11</f>
        <v>0.585603807428863</v>
      </c>
      <c r="N38" s="6"/>
      <c r="O38" s="25" t="s">
        <v>30</v>
      </c>
      <c r="P38" s="26" t="n">
        <f aca="false">P19/I$11</f>
        <v>0.311471871757708</v>
      </c>
      <c r="Q38" s="26" t="n">
        <f aca="false">Q19/J$11</f>
        <v>0.270014125250431</v>
      </c>
      <c r="R38" s="26" t="n">
        <f aca="false">R19/K$11</f>
        <v>0.282530241224362</v>
      </c>
      <c r="S38" s="26" t="n">
        <f aca="false">S19/L$11</f>
        <v>0.245412479491386</v>
      </c>
      <c r="T38" s="26" t="n">
        <f aca="false">T19/M$11</f>
        <v>0.242258602272825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0.606988547972706</v>
      </c>
      <c r="C39" s="24" t="n">
        <f aca="false">C20/C$16</f>
        <v>0.529426342822444</v>
      </c>
      <c r="D39" s="24" t="n">
        <f aca="false">D20/D$16</f>
        <v>0.503170539922699</v>
      </c>
      <c r="E39" s="24" t="n">
        <f aca="false">E20/E$16</f>
        <v>0.513122544132964</v>
      </c>
      <c r="F39" s="24" t="n">
        <f aca="false">F20/F$16</f>
        <v>0.517973976007932</v>
      </c>
      <c r="G39" s="6"/>
      <c r="H39" s="25" t="s">
        <v>32</v>
      </c>
      <c r="I39" s="24" t="n">
        <f aca="false">I20/I$11</f>
        <v>0.180117969919453</v>
      </c>
      <c r="J39" s="24" t="n">
        <f aca="false">J20/J$11</f>
        <v>0.190959839724052</v>
      </c>
      <c r="K39" s="24" t="n">
        <f aca="false">K20/K$11</f>
        <v>0.198889447511894</v>
      </c>
      <c r="L39" s="24" t="n">
        <f aca="false">L20/L$11</f>
        <v>0.198782301066448</v>
      </c>
      <c r="M39" s="24" t="n">
        <f aca="false">M20/M$11</f>
        <v>0.187770103161053</v>
      </c>
      <c r="N39" s="6"/>
      <c r="O39" s="25" t="s">
        <v>33</v>
      </c>
      <c r="P39" s="26" t="n">
        <f aca="false">P20/I$11</f>
        <v>-0.182582111657598</v>
      </c>
      <c r="Q39" s="26" t="n">
        <f aca="false">Q20/J$11</f>
        <v>-0.00638924635555778</v>
      </c>
      <c r="R39" s="26" t="n">
        <f aca="false">R20/K$11</f>
        <v>0.160656119515961</v>
      </c>
      <c r="S39" s="26" t="n">
        <f aca="false">S20/L$11</f>
        <v>0.115910838802297</v>
      </c>
      <c r="T39" s="26" t="n">
        <f aca="false">T20/M$11</f>
        <v>0.157406261066852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0.00741024544396132</v>
      </c>
      <c r="J40" s="24" t="n">
        <f aca="false">J21/J$11</f>
        <v>0.00566482420001904</v>
      </c>
      <c r="K40" s="24" t="n">
        <f aca="false">K21/K$11</f>
        <v>0.00735889388165976</v>
      </c>
      <c r="L40" s="24" t="n">
        <f aca="false">L21/L$11</f>
        <v>0.00624871821164889</v>
      </c>
      <c r="M40" s="24" t="n">
        <f aca="false">M21/M$11</f>
        <v>0.00670417279692273</v>
      </c>
      <c r="N40" s="6"/>
      <c r="O40" s="25" t="s">
        <v>36</v>
      </c>
      <c r="P40" s="26" t="n">
        <f aca="false">P21/I$11</f>
        <v>-0.0931730700691425</v>
      </c>
      <c r="Q40" s="26" t="n">
        <f aca="false">Q21/J$11</f>
        <v>-0.0900855269680381</v>
      </c>
      <c r="R40" s="26" t="n">
        <f aca="false">R21/K$11</f>
        <v>-0.09714702895297</v>
      </c>
      <c r="S40" s="26" t="n">
        <f aca="false">S21/L$11</f>
        <v>-0.065827522559475</v>
      </c>
      <c r="T40" s="26" t="n">
        <f aca="false">T21/M$11</f>
        <v>-0.0658267136165104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0.172707724475491</v>
      </c>
      <c r="J41" s="24" t="n">
        <f aca="false">J22/J$11</f>
        <v>0.185295015524033</v>
      </c>
      <c r="K41" s="24" t="n">
        <f aca="false">K22/K$11</f>
        <v>0.191530553630235</v>
      </c>
      <c r="L41" s="24" t="n">
        <f aca="false">L22/L$11</f>
        <v>0.192533582854799</v>
      </c>
      <c r="M41" s="24" t="n">
        <f aca="false">M22/M$11</f>
        <v>0.18106593036413</v>
      </c>
      <c r="N41" s="6"/>
      <c r="O41" s="25" t="s">
        <v>38</v>
      </c>
      <c r="P41" s="26" t="n">
        <f aca="false">P22/I$11</f>
        <v>0.0218575015246196</v>
      </c>
      <c r="Q41" s="26" t="n">
        <f aca="false">Q22/J$11</f>
        <v>0.0194043051093357</v>
      </c>
      <c r="R41" s="26" t="n">
        <f aca="false">R22/K$11</f>
        <v>0.0299372164972695</v>
      </c>
      <c r="S41" s="26" t="n">
        <f aca="false">S22/L$11</f>
        <v>0.0220044606234619</v>
      </c>
      <c r="T41" s="26" t="n">
        <f aca="false">T22/M$11</f>
        <v>0.0384557800996772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0.275456197875829</v>
      </c>
      <c r="J42" s="24" t="n">
        <f aca="false">J23/J$11</f>
        <v>0.27847160667607</v>
      </c>
      <c r="K42" s="24" t="n">
        <f aca="false">K23/K$11</f>
        <v>0.340860560606179</v>
      </c>
      <c r="L42" s="24" t="n">
        <f aca="false">L23/L$11</f>
        <v>0.366026199753897</v>
      </c>
      <c r="M42" s="24" t="n">
        <f aca="false">M23/M$11</f>
        <v>0.407120502359489</v>
      </c>
      <c r="N42" s="6"/>
      <c r="O42" s="25" t="s">
        <v>40</v>
      </c>
      <c r="P42" s="26" t="n">
        <f aca="false">P23/I$11</f>
        <v>0.0205378145270511</v>
      </c>
      <c r="Q42" s="26" t="n">
        <f aca="false">Q23/J$11</f>
        <v>0.0216718053522822</v>
      </c>
      <c r="R42" s="26" t="n">
        <f aca="false">R23/K$11</f>
        <v>0.0221349078290703</v>
      </c>
      <c r="S42" s="26" t="n">
        <f aca="false">S23/L$11</f>
        <v>0.0342698933552092</v>
      </c>
      <c r="T42" s="26" t="n">
        <f aca="false">T23/M$11</f>
        <v>0.0247134495178812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0.0172707724475491</v>
      </c>
      <c r="J43" s="24" t="n">
        <f aca="false">J24/J$11</f>
        <v>0.0185296978727707</v>
      </c>
      <c r="K43" s="24" t="n">
        <f aca="false">K24/K$11</f>
        <v>0.0191530553630235</v>
      </c>
      <c r="L43" s="24" t="n">
        <f aca="false">L24/L$11</f>
        <v>0.0192537428219852</v>
      </c>
      <c r="M43" s="24" t="n">
        <f aca="false">M24/M$11</f>
        <v>0.0181071688725991</v>
      </c>
      <c r="N43" s="6"/>
      <c r="O43" s="2" t="s">
        <v>49</v>
      </c>
      <c r="P43" s="26" t="n">
        <f aca="false">P24/I11</f>
        <v>0.55153115372126</v>
      </c>
      <c r="Q43" s="26" t="n">
        <f aca="false">Q24/J11</f>
        <v>0.596250477303893</v>
      </c>
      <c r="R43" s="26" t="n">
        <f aca="false">R24/K11</f>
        <v>0.502076547276862</v>
      </c>
      <c r="S43" s="26" t="n">
        <f aca="false">S24/L11</f>
        <v>0.5305552707137</v>
      </c>
      <c r="T43" s="26" t="n">
        <f aca="false">T24/M11</f>
        <v>0.474925213275327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0.0754884722915231</v>
      </c>
      <c r="J44" s="24" t="n">
        <f aca="false">J25/J$11</f>
        <v>0.0678610797816525</v>
      </c>
      <c r="K44" s="24" t="n">
        <f aca="false">K25/K$11</f>
        <v>0.0768417669855297</v>
      </c>
      <c r="L44" s="24" t="n">
        <f aca="false">L25/L$11</f>
        <v>0.0656788351107465</v>
      </c>
      <c r="M44" s="24" t="n">
        <f aca="false">M25/M$11</f>
        <v>0.0658612637876777</v>
      </c>
      <c r="N44" s="6"/>
      <c r="O44" s="2" t="s">
        <v>50</v>
      </c>
      <c r="P44" s="26" t="n">
        <f aca="false">P24/B16</f>
        <v>0.339734125626526</v>
      </c>
      <c r="Q44" s="26" t="n">
        <f aca="false">Q24/C16</f>
        <v>0.35672312681393</v>
      </c>
      <c r="R44" s="26" t="n">
        <f aca="false">R24/D16</f>
        <v>0.28688027956798</v>
      </c>
      <c r="S44" s="26" t="n">
        <f aca="false">S24/E16</f>
        <v>0.308389100234392</v>
      </c>
      <c r="T44" s="26" t="n">
        <f aca="false">T24/F16</f>
        <v>0.28794583630092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0.104973032052653</v>
      </c>
      <c r="J45" s="24" t="n">
        <f aca="false">J26/J$11</f>
        <v>0.104259857491045</v>
      </c>
      <c r="K45" s="24" t="n">
        <f aca="false">K26/K$11</f>
        <v>0.11873886564196</v>
      </c>
      <c r="L45" s="24" t="n">
        <f aca="false">L26/L$11</f>
        <v>0.0834341673502871</v>
      </c>
      <c r="M45" s="24" t="n">
        <f aca="false">M26/M$11</f>
        <v>0.0931299863814742</v>
      </c>
      <c r="N45" s="6"/>
      <c r="O45" s="2" t="s">
        <v>51</v>
      </c>
      <c r="P45" s="26" t="n">
        <f aca="false">P24/B20</f>
        <v>0.559704341640729</v>
      </c>
      <c r="Q45" s="26" t="n">
        <f aca="false">Q24/C20</f>
        <v>0.673791796819537</v>
      </c>
      <c r="R45" s="26" t="n">
        <f aca="false">R24/D20</f>
        <v>0.570145222754998</v>
      </c>
      <c r="S45" s="26" t="n">
        <f aca="false">S24/E20</f>
        <v>0.601004777046943</v>
      </c>
      <c r="T45" s="26" t="n">
        <f aca="false">T24/F20</f>
        <v>0.555907921320956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0.250431645559595</v>
      </c>
      <c r="J46" s="24" t="n">
        <f aca="false">J27/J$11</f>
        <v>0.273115987054635</v>
      </c>
      <c r="K46" s="24" t="n">
        <f aca="false">K27/K$11</f>
        <v>0.3176574262459</v>
      </c>
      <c r="L46" s="24" t="n">
        <f aca="false">L27/L$11</f>
        <v>0.390193037325677</v>
      </c>
      <c r="M46" s="24" t="n">
        <f aca="false">M27/M$11</f>
        <v>0.411088013681868</v>
      </c>
      <c r="N46" s="6"/>
      <c r="O46" s="2" t="s">
        <v>52</v>
      </c>
      <c r="P46" s="26" t="n">
        <f aca="false">P24/I22</f>
        <v>3.19343651476068</v>
      </c>
      <c r="Q46" s="26" t="n">
        <f aca="false">Q24/J22</f>
        <v>3.21784412612307</v>
      </c>
      <c r="R46" s="26" t="n">
        <f aca="false">R24/K22</f>
        <v>2.62139140602163</v>
      </c>
      <c r="S46" s="26" t="n">
        <f aca="false">S24/L22</f>
        <v>2.75565053559421</v>
      </c>
      <c r="T46" s="26" t="n">
        <f aca="false">T24/M22</f>
        <v>2.62294078361532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0.864438234239882</v>
      </c>
      <c r="Q47" s="26" t="n">
        <f aca="false">Q24/(C22-C20)</f>
        <v>0.75806012804353</v>
      </c>
      <c r="R47" s="26" t="n">
        <f aca="false">R24/(D22-D20)</f>
        <v>0.577422038385857</v>
      </c>
      <c r="S47" s="26" t="n">
        <f aca="false">S24/(E22-E20)</f>
        <v>0.63340188895214</v>
      </c>
      <c r="T47" s="26" t="n">
        <f aca="false">T24/(F22-F20)</f>
        <v>0.597365747841155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7.30616393442623</v>
      </c>
      <c r="Q48" s="26" t="n">
        <f aca="false">Q24/J25</f>
        <v>8.78633937482823</v>
      </c>
      <c r="R48" s="26" t="n">
        <f aca="false">R24/K25</f>
        <v>6.53390163934426</v>
      </c>
      <c r="S48" s="26" t="n">
        <f aca="false">S24/L25</f>
        <v>8.078024980484</v>
      </c>
      <c r="T48" s="26" t="n">
        <f aca="false">T24/M25</f>
        <v>7.21099453551913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0.937073699968882</v>
      </c>
      <c r="Q49" s="26" t="n">
        <f aca="false">Q24/(Q18*-1)</f>
        <v>0.776850985026371</v>
      </c>
      <c r="R49" s="26" t="n">
        <f aca="false">R24/(R18*-1)</f>
        <v>0.586594086295811</v>
      </c>
      <c r="S49" s="26" t="n">
        <f aca="false">S24/(S18*-1)</f>
        <v>0.65195949489906</v>
      </c>
      <c r="T49" s="26" t="n">
        <f aca="false">T24/(T18*-1)</f>
        <v>0.57741267565945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0.015591699458386</v>
      </c>
      <c r="J50" s="28" t="n">
        <f aca="false">LN(J13/K13)</f>
        <v>0.136343574015221</v>
      </c>
      <c r="K50" s="28" t="n">
        <f aca="false">LN(K13/L13)</f>
        <v>0.117385936298</v>
      </c>
      <c r="L50" s="28" t="n">
        <f aca="false">LN(L13/M13)</f>
        <v>0.133052897057864</v>
      </c>
      <c r="O50" s="2" t="s">
        <v>117</v>
      </c>
      <c r="P50" s="32" t="n">
        <f aca="false">(J15-J16-P28-P25)/($B$6)</f>
        <v>0.000543199412622538</v>
      </c>
      <c r="Q50" s="32" t="n">
        <f aca="false">(K15-K16-Q28-Q25)/($B$6)</f>
        <v>0.000618095174236716</v>
      </c>
      <c r="R50" s="32" t="n">
        <f aca="false">(L15-L16-R28-R25)/($B$6)</f>
        <v>0.000574434086033361</v>
      </c>
    </row>
    <row r="51" customFormat="false" ht="15" hidden="false" customHeight="false" outlineLevel="0" collapsed="false">
      <c r="A51" s="29" t="s">
        <v>57</v>
      </c>
      <c r="B51" s="30" t="n">
        <f aca="false">B11/B17</f>
        <v>0.432720143754636</v>
      </c>
      <c r="C51" s="30" t="n">
        <f aca="false">C11/C17</f>
        <v>0.337506003377384</v>
      </c>
      <c r="D51" s="30" t="n">
        <f aca="false">D11/D17</f>
        <v>0.354703141490817</v>
      </c>
      <c r="E51" s="30" t="n">
        <f aca="false">E11/E17</f>
        <v>0.368647609692516</v>
      </c>
      <c r="F51" s="30" t="n">
        <f aca="false">F11/F17</f>
        <v>0.311379358633245</v>
      </c>
      <c r="H51" s="29" t="s">
        <v>58</v>
      </c>
      <c r="I51" s="31" t="n">
        <f aca="false">I13/I11</f>
        <v>0.790690514093822</v>
      </c>
      <c r="J51" s="31" t="n">
        <f aca="false">J13/J11</f>
        <v>0.771844321875095</v>
      </c>
      <c r="K51" s="31" t="n">
        <f aca="false">K13/K11</f>
        <v>0.768238512365786</v>
      </c>
      <c r="L51" s="31" t="n">
        <f aca="false">L13/L11</f>
        <v>0.782019073010665</v>
      </c>
      <c r="M51" s="31" t="n">
        <f aca="false">M13/M11</f>
        <v>0.768875190385839</v>
      </c>
      <c r="O51" s="2" t="s">
        <v>59</v>
      </c>
      <c r="P51" s="32" t="n">
        <f aca="false">(P11-P24-P25)/B16</f>
        <v>-0.0626626344602411</v>
      </c>
      <c r="Q51" s="32" t="n">
        <f aca="false">(Q11-Q24-Q25)/C16</f>
        <v>0.0517825409297895</v>
      </c>
      <c r="R51" s="32" t="n">
        <f aca="false">(R11-R24-R25)/D16</f>
        <v>0.150185254734057</v>
      </c>
      <c r="S51" s="32" t="n">
        <f aca="false">(S11-S24-S25)/E16</f>
        <v>0.133893461004892</v>
      </c>
      <c r="T51" s="32" t="n">
        <f aca="false">(T11-T24-T25)/F16</f>
        <v>0.173636131942408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0.11094970901886</v>
      </c>
      <c r="C52" s="31" t="n">
        <f aca="false">J20/C16</f>
        <v>0.114246937680072</v>
      </c>
      <c r="D52" s="31" t="n">
        <f aca="false">K20/D16</f>
        <v>0.113642950691082</v>
      </c>
      <c r="E52" s="31" t="n">
        <f aca="false">L20/E16</f>
        <v>0.115543654643069</v>
      </c>
      <c r="F52" s="31" t="n">
        <f aca="false">M20/F16</f>
        <v>0.113844491460332</v>
      </c>
      <c r="G52" s="31"/>
      <c r="H52" s="29" t="s">
        <v>61</v>
      </c>
      <c r="I52" s="31" t="n">
        <f aca="false">I16/I11</f>
        <v>0.0806494087643849</v>
      </c>
      <c r="J52" s="31" t="n">
        <f aca="false">J16/J11</f>
        <v>0.0743975664127263</v>
      </c>
      <c r="K52" s="31" t="n">
        <f aca="false">K16/K11</f>
        <v>0.0742462228562407</v>
      </c>
      <c r="L52" s="31" t="n">
        <f aca="false">L16/L11</f>
        <v>0.080760356849877</v>
      </c>
      <c r="M52" s="31" t="n">
        <f aca="false">M16/M11</f>
        <v>0.0964021755091112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0.182787153710599</v>
      </c>
      <c r="C53" s="31" t="n">
        <f aca="false">J20/C20</f>
        <v>0.215793828979128</v>
      </c>
      <c r="D53" s="31" t="n">
        <f aca="false">K20/D20</f>
        <v>0.225853744753302</v>
      </c>
      <c r="E53" s="31" t="n">
        <f aca="false">L20/E20</f>
        <v>0.22517750577166</v>
      </c>
      <c r="F53" s="31" t="n">
        <f aca="false">M20/F20</f>
        <v>0.2197880525538</v>
      </c>
      <c r="H53" s="29" t="s">
        <v>11</v>
      </c>
      <c r="I53" s="31" t="n">
        <f aca="false">I17/I11</f>
        <v>0.515472909291072</v>
      </c>
      <c r="J53" s="31" t="n">
        <f aca="false">J17/J11</f>
        <v>0.493387439226576</v>
      </c>
      <c r="K53" s="31" t="n">
        <f aca="false">K17/K11</f>
        <v>0.482762250173279</v>
      </c>
      <c r="L53" s="31" t="n">
        <f aca="false">L17/L11</f>
        <v>0.491711956521739</v>
      </c>
      <c r="M53" s="31" t="n">
        <f aca="false">M17/M11</f>
        <v>0.475512566185172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469.371747211896</v>
      </c>
      <c r="C54" s="30" t="n">
        <f aca="false">J11/C12</f>
        <v>279.643974746088</v>
      </c>
      <c r="D54" s="30" t="n">
        <f aca="false">K11/D12</f>
        <v>208.271688432836</v>
      </c>
      <c r="E54" s="30" t="n">
        <f aca="false">L11/E12</f>
        <v>163.864734299517</v>
      </c>
      <c r="F54" s="30" t="n">
        <f aca="false">M11/F12</f>
        <v>164.062824752008</v>
      </c>
      <c r="H54" s="29" t="s">
        <v>64</v>
      </c>
      <c r="I54" s="31" t="n">
        <f aca="false">I25/I22</f>
        <v>0.437087990828318</v>
      </c>
      <c r="J54" s="31" t="n">
        <f aca="false">J25/J22</f>
        <v>0.366232624173589</v>
      </c>
      <c r="K54" s="31" t="n">
        <f aca="false">K25/K22</f>
        <v>0.401198479976615</v>
      </c>
      <c r="L54" s="31" t="n">
        <f aca="false">L25/L22</f>
        <v>0.341129241646528</v>
      </c>
      <c r="M54" s="31" t="n">
        <f aca="false">M25/M22</f>
        <v>0.36374189034474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0.393011452027294</v>
      </c>
      <c r="C55" s="31" t="n">
        <f aca="false">(C22-C20)/C16</f>
        <v>0.470573657177556</v>
      </c>
      <c r="D55" s="31" t="n">
        <f aca="false">(D22-D20)/D16</f>
        <v>0.496829460077301</v>
      </c>
      <c r="E55" s="31" t="n">
        <f aca="false">(E22-E20)/E16</f>
        <v>0.486877455867036</v>
      </c>
      <c r="F55" s="31" t="n">
        <f aca="false">(F22-F20)/F16</f>
        <v>0.482026023992068</v>
      </c>
      <c r="H55" s="29" t="s">
        <v>66</v>
      </c>
      <c r="I55" s="31" t="n">
        <f aca="false">I22/I11</f>
        <v>0.172707724475491</v>
      </c>
      <c r="J55" s="31" t="n">
        <f aca="false">J22/J11</f>
        <v>0.185295015524033</v>
      </c>
      <c r="K55" s="31" t="n">
        <f aca="false">K22/K11</f>
        <v>0.191530553630235</v>
      </c>
      <c r="L55" s="31" t="n">
        <f aca="false">L22/L11</f>
        <v>0.192533582854799</v>
      </c>
      <c r="M55" s="31" t="n">
        <f aca="false">M22/M11</f>
        <v>0.18106593036413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0.647477540292845</v>
      </c>
      <c r="C56" s="31" t="n">
        <f aca="false">(C22-C20)/C20</f>
        <v>0.888836877041034</v>
      </c>
      <c r="D56" s="31" t="n">
        <f aca="false">(D22-D20)/D20</f>
        <v>0.987397752168932</v>
      </c>
      <c r="E56" s="31" t="n">
        <f aca="false">(E22-E20)/E20</f>
        <v>0.948852201942762</v>
      </c>
      <c r="F56" s="31" t="n">
        <f aca="false">(F22-F20)/F20</f>
        <v>0.930598922569589</v>
      </c>
      <c r="H56" s="33" t="s">
        <v>68</v>
      </c>
      <c r="I56" s="34" t="n">
        <f aca="false">I13/B16</f>
        <v>0.487052360749532</v>
      </c>
      <c r="J56" s="34" t="n">
        <f aca="false">J13/C16</f>
        <v>0.46177693837305</v>
      </c>
      <c r="K56" s="34" t="n">
        <f aca="false">K13/D16</f>
        <v>0.43896190809497</v>
      </c>
      <c r="L56" s="34" t="n">
        <f aca="false">L13/E16</f>
        <v>0.454554259667381</v>
      </c>
      <c r="M56" s="34" t="n">
        <f aca="false">M13/F16</f>
        <v>0.466166890108509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0.61598356381918</v>
      </c>
      <c r="C57" s="30" t="n">
        <f aca="false">J11/C16</f>
        <v>0.598277301893241</v>
      </c>
      <c r="D57" s="30" t="n">
        <f aca="false">K11/D16</f>
        <v>0.571387532685896</v>
      </c>
      <c r="E57" s="30" t="n">
        <f aca="false">L11/E16</f>
        <v>0.581257254912479</v>
      </c>
      <c r="F57" s="30" t="n">
        <f aca="false">M11/F16</f>
        <v>0.606297219545575</v>
      </c>
      <c r="H57" s="33" t="s">
        <v>70</v>
      </c>
      <c r="I57" s="35" t="n">
        <f aca="false">I25/$C$5</f>
        <v>0.0436778330139906</v>
      </c>
      <c r="J57" s="35" t="n">
        <f aca="false">J25/$C$5</f>
        <v>0.0396010443246716</v>
      </c>
      <c r="K57" s="35" t="n">
        <f aca="false">K25/$C$5</f>
        <v>0.0393100497125916</v>
      </c>
      <c r="L57" s="35" t="n">
        <f aca="false">L25/$C$5</f>
        <v>0.0293515037854017</v>
      </c>
      <c r="M57" s="35" t="n">
        <f aca="false">M25/$C$5</f>
        <v>0.0262066998083944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1.64747754029285</v>
      </c>
      <c r="C58" s="30" t="n">
        <f aca="false">C16/C20</f>
        <v>1.88883687704103</v>
      </c>
      <c r="D58" s="30" t="n">
        <f aca="false">D16/D20</f>
        <v>1.98739775216893</v>
      </c>
      <c r="E58" s="30" t="n">
        <f aca="false">E16/E20</f>
        <v>1.94885220194276</v>
      </c>
      <c r="F58" s="30" t="n">
        <f aca="false">F16/F20</f>
        <v>1.93059892256959</v>
      </c>
      <c r="H58" s="36" t="s">
        <v>72</v>
      </c>
      <c r="I58" s="37" t="n">
        <f aca="false">I22/$C$7/1000</f>
        <v>2.45026289375528</v>
      </c>
      <c r="J58" s="37" t="n">
        <f aca="false">J22/$C$7/1000</f>
        <v>2.65136844900199</v>
      </c>
      <c r="K58" s="37" t="n">
        <f aca="false">K22/$C$7/1000</f>
        <v>2.40250769834818</v>
      </c>
      <c r="L58" s="37" t="n">
        <f aca="false">L22/$C$7/1000</f>
        <v>2.10975430485698</v>
      </c>
      <c r="M58" s="37" t="n">
        <f aca="false">M22/$C$7/1000</f>
        <v>1.76660513456557</v>
      </c>
    </row>
    <row r="59" customFormat="false" ht="15" hidden="false" customHeight="false" outlineLevel="0" collapsed="false">
      <c r="H59" s="36" t="s">
        <v>73</v>
      </c>
      <c r="I59" s="37" t="n">
        <f aca="false">B20/$C$7/1000</f>
        <v>13.980164907679</v>
      </c>
      <c r="J59" s="37" t="n">
        <f aca="false">C20/$C$7/1000</f>
        <v>12.6622057883173</v>
      </c>
      <c r="K59" s="37" t="n">
        <f aca="false">D20/$C$7/1000</f>
        <v>11.0461559300955</v>
      </c>
      <c r="L59" s="37" t="n">
        <f aca="false">E20/$C$7/1000</f>
        <v>9.67337665553568</v>
      </c>
      <c r="M59" s="37" t="n">
        <f aca="false">F20/$C$7/1000</f>
        <v>8.3353743997488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27.7621916415468</v>
      </c>
      <c r="J60" s="38" t="n">
        <f aca="false">SQRT(22.5*J58*J59)</f>
        <v>27.4840661246309</v>
      </c>
      <c r="K60" s="38" t="n">
        <f aca="false">SQRT(22.5*K58*K59)</f>
        <v>24.4359505612571</v>
      </c>
      <c r="L60" s="38" t="n">
        <f aca="false">SQRT(22.5*L58*L59)</f>
        <v>21.4287209355618</v>
      </c>
      <c r="M60" s="38" t="n">
        <f aca="false">SQRT(22.5*M58*M59)</f>
        <v>18.2021864701815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1.33184970114096</v>
      </c>
      <c r="J61" s="39" t="n">
        <f aca="false">J58-(C20*0.08/1000/$C$7)</f>
        <v>1.6383919859366</v>
      </c>
      <c r="K61" s="39" t="n">
        <f aca="false">K58-(D20*0.08/1000/$C$7)</f>
        <v>1.51881522394054</v>
      </c>
      <c r="L61" s="39" t="n">
        <f aca="false">L58-(E20*0.08/1000/$C$7)</f>
        <v>1.33588417241412</v>
      </c>
      <c r="M61" s="39" t="n">
        <f aca="false">M58-(F20*0.08/1000/$C$7)</f>
        <v>1.09977518258567</v>
      </c>
    </row>
    <row r="62" customFormat="false" ht="15" hidden="false" customHeight="false" outlineLevel="0" collapsed="false">
      <c r="H62" s="2" t="s">
        <v>76</v>
      </c>
      <c r="I62" s="69" t="n">
        <v>1.25</v>
      </c>
      <c r="J62" s="69" t="n">
        <v>1.25</v>
      </c>
      <c r="K62" s="69" t="n">
        <v>1.13</v>
      </c>
      <c r="L62" s="69" t="n">
        <v>1.12</v>
      </c>
      <c r="M62" s="69" t="n">
        <v>0.84</v>
      </c>
    </row>
    <row r="63" customFormat="false" ht="15" hidden="false" customHeight="false" outlineLevel="0" collapsed="false">
      <c r="A63" s="2"/>
      <c r="I63" s="83"/>
      <c r="J63" s="83"/>
      <c r="K63" s="83"/>
      <c r="L63" s="83"/>
    </row>
    <row r="64" customFormat="false" ht="15" hidden="false" customHeight="false" outlineLevel="0" collapsed="false">
      <c r="H64" s="2" t="s">
        <v>105</v>
      </c>
      <c r="I64" s="6"/>
      <c r="J64" s="6" t="n">
        <f aca="false">K51/J51</f>
        <v>0.995328320223242</v>
      </c>
      <c r="K64" s="6" t="n">
        <f aca="false">L51/K51</f>
        <v>1.01793786750217</v>
      </c>
      <c r="L64" s="6" t="n">
        <f aca="false">M51/L51</f>
        <v>0.98319237589152</v>
      </c>
    </row>
    <row r="65" customFormat="false" ht="15" hidden="false" customHeight="false" outlineLevel="0" collapsed="false">
      <c r="H65" s="2" t="s">
        <v>106</v>
      </c>
      <c r="I65" s="6"/>
      <c r="J65" s="6" t="n">
        <f aca="false">J11/K11</f>
        <v>1.14072148960495</v>
      </c>
      <c r="K65" s="6" t="n">
        <f aca="false">K11/L11</f>
        <v>1.14472544093519</v>
      </c>
      <c r="L65" s="6" t="n">
        <f aca="false">L11/M11</f>
        <v>1.1231108974119</v>
      </c>
    </row>
    <row r="66" customFormat="false" ht="15" hidden="false" customHeight="false" outlineLevel="0" collapsed="false">
      <c r="H66" s="2" t="s">
        <v>107</v>
      </c>
      <c r="I66" s="6"/>
      <c r="J66" s="6" t="n">
        <f aca="false">(Q13/1948687)/(R13/1747778)</f>
        <v>1.18233020297157</v>
      </c>
      <c r="K66" s="6" t="n">
        <f aca="false">(R13/1948687)/(S13/1747778)</f>
        <v>0.816939585558692</v>
      </c>
      <c r="L66" s="6" t="n">
        <f aca="false">(S13/1948687)/(T13/1747778)</f>
        <v>-0.663640682225183</v>
      </c>
    </row>
    <row r="67" customFormat="false" ht="15" hidden="false" customHeight="false" outlineLevel="0" collapsed="false">
      <c r="H67" s="2" t="s">
        <v>108</v>
      </c>
      <c r="I67" s="6"/>
      <c r="J67" s="6" t="n">
        <f aca="false">J52/K52</f>
        <v>1.00203840075176</v>
      </c>
      <c r="K67" s="6" t="n">
        <f aca="false">K52/L52</f>
        <v>0.9193399552983</v>
      </c>
      <c r="L67" s="6" t="n">
        <f aca="false">L52/M52</f>
        <v>0.837744132052747</v>
      </c>
    </row>
    <row r="68" customFormat="false" ht="15" hidden="false" customHeight="false" outlineLevel="0" collapsed="false">
      <c r="H68" s="2" t="s">
        <v>109</v>
      </c>
      <c r="I68" s="2"/>
      <c r="J68" s="2" t="n">
        <v>0</v>
      </c>
      <c r="K68" s="2" t="n">
        <v>0</v>
      </c>
      <c r="L68" s="2" t="n">
        <v>0</v>
      </c>
    </row>
    <row r="69" customFormat="false" ht="15" hidden="false" customHeight="false" outlineLevel="0" collapsed="false">
      <c r="H69" s="2" t="s">
        <v>110</v>
      </c>
      <c r="I69" s="6"/>
      <c r="J69" s="6" t="n">
        <f aca="false">C58/D58</f>
        <v>0.950407071246642</v>
      </c>
      <c r="K69" s="6" t="n">
        <f aca="false">D58/E58</f>
        <v>1.01977859079706</v>
      </c>
      <c r="L69" s="6" t="n">
        <f aca="false">E58/F58</f>
        <v>1.00945472369211</v>
      </c>
    </row>
    <row r="70" customFormat="false" ht="15" hidden="false" customHeight="false" outlineLevel="0" collapsed="false">
      <c r="H70" s="2" t="s">
        <v>111</v>
      </c>
      <c r="I70" s="6"/>
      <c r="J70" s="6" t="n">
        <f aca="false">((1-C11)/C16)/((1-D11)/D16)</f>
        <v>0.953885771654633</v>
      </c>
      <c r="K70" s="6" t="n">
        <f aca="false">((1-D11)/D16)/((1-E11)/E16)</f>
        <v>0.922439229116964</v>
      </c>
      <c r="L70" s="6" t="n">
        <f aca="false">((1-E11)/E16)/((1-F11)/F16)</f>
        <v>1.19869673967989</v>
      </c>
    </row>
    <row r="71" customFormat="false" ht="15" hidden="false" customHeight="false" outlineLevel="0" collapsed="false">
      <c r="H71" s="2" t="s">
        <v>112</v>
      </c>
      <c r="I71" s="6"/>
      <c r="J71" s="6" t="n">
        <f aca="false">((J13-J16-J17)-Q24)/C16</f>
        <v>-0.234639069670201</v>
      </c>
      <c r="K71" s="6" t="n">
        <f aca="false">((K13-K16-K17)-R24)/D16</f>
        <v>-0.166186068562486</v>
      </c>
      <c r="L71" s="6" t="n">
        <f aca="false">((L13-L16-L17)-S24)/E16</f>
        <v>-0.186588525950794</v>
      </c>
      <c r="M71" s="6" t="n">
        <f aca="false">((M13-M16-M17)-T24)/F16</f>
        <v>-0.168529263898781</v>
      </c>
    </row>
    <row r="72" customFormat="false" ht="15" hidden="false" customHeight="false" outlineLevel="0" collapsed="false">
      <c r="H72" s="2" t="s">
        <v>113</v>
      </c>
      <c r="I72" s="6"/>
      <c r="J72" s="6" t="n">
        <f aca="false">-4.84 + 0.92 *J66  + 0.528 *J64 + 0.404 *J70 + 0.892 *J65 + 0.115 *J68 - 0.172 *J67- 0.327 *J69 + 4.697 *J71</f>
        <v>-3.40906286718009</v>
      </c>
      <c r="K72" s="6" t="n">
        <f aca="false">-4.84 + 0.92 *K66  + 0.528 *K64 + 0.404 *K70 + 0.892 *K65 + 0.115 *K68 - 0.172 *K67- 0.327 *K69 + 4.697 *K71</f>
        <v>-3.42935388090736</v>
      </c>
      <c r="L72" s="6" t="n">
        <f aca="false">-4.84 + 0.92 *L66  + 0.528 *L64 + 0.404 *L70 + 0.892 *L65 + 0.115 *L68 - 0.172 *L67- 0.327 *L69 + 4.697 *L71</f>
        <v>-4.79592544160562</v>
      </c>
    </row>
    <row r="73" customFormat="false" ht="15" hidden="false" customHeight="false" outlineLevel="0" collapsed="false">
      <c r="I73" s="6"/>
      <c r="J73" s="6" t="str">
        <f aca="false">IF(J72&gt;-2.22,"CARE","Good")</f>
        <v>Good</v>
      </c>
      <c r="K73" s="6" t="str">
        <f aca="false">IF(K72&gt;-2.22,"CARE","Good")</f>
        <v>Good</v>
      </c>
      <c r="L73" s="6" t="str">
        <f aca="false">IF(L72&gt;-2.22,"CARE","Good")</f>
        <v>Good</v>
      </c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0.000516403162930421</v>
      </c>
      <c r="K74" s="6" t="n">
        <f aca="false">K59*$C$7/$C$5</f>
        <v>0.000450495747414477</v>
      </c>
      <c r="L74" s="6" t="n">
        <f aca="false">L59*$C$7/$C$5</f>
        <v>0.000394509644263154</v>
      </c>
      <c r="M74" s="6" t="n">
        <f aca="false">M59*$C$7/$C$5</f>
        <v>0.000339941853433701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0.000408811599311072</v>
      </c>
      <c r="K77" s="28" t="n">
        <f aca="false">(K15-K16)/$C$6</f>
        <v>0.000356558427914135</v>
      </c>
      <c r="L77" s="28" t="n">
        <f aca="false">(L15-L16)/$C$6</f>
        <v>0.000316042910209763</v>
      </c>
      <c r="M77" s="28" t="n">
        <f aca="false">(M15-M16)/$C$6</f>
        <v>0.000269252042043414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68" t="n">
        <v>1649.5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2825494</v>
      </c>
      <c r="M6" s="6"/>
    </row>
    <row r="7" customFormat="false" ht="15" hidden="false" customHeight="false" outlineLevel="0" collapsed="false">
      <c r="A7" s="2" t="s">
        <v>2</v>
      </c>
      <c r="B7" s="62" t="n">
        <v>50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525780</v>
      </c>
      <c r="C11" s="56" t="n">
        <v>362816</v>
      </c>
      <c r="D11" s="56" t="n">
        <v>312760</v>
      </c>
      <c r="E11" s="56" t="n">
        <v>295198</v>
      </c>
      <c r="G11" s="25" t="s">
        <v>7</v>
      </c>
      <c r="H11" s="56" t="n">
        <v>1657975</v>
      </c>
      <c r="I11" s="56" t="n">
        <v>1621351</v>
      </c>
      <c r="J11" s="56" t="n">
        <v>1600550</v>
      </c>
      <c r="K11" s="56" t="n">
        <v>1447363</v>
      </c>
      <c r="M11" s="25" t="s">
        <v>8</v>
      </c>
      <c r="N11" s="56" t="n">
        <v>283817</v>
      </c>
      <c r="O11" s="56" t="n">
        <v>310222</v>
      </c>
      <c r="P11" s="56" t="n">
        <v>309443</v>
      </c>
      <c r="Q11" s="56" t="n">
        <v>256169</v>
      </c>
    </row>
    <row r="12" customFormat="false" ht="15" hidden="false" customHeight="false" outlineLevel="0" collapsed="false">
      <c r="A12" s="25" t="s">
        <v>9</v>
      </c>
      <c r="B12" s="56" t="n">
        <v>737513</v>
      </c>
      <c r="C12" s="56" t="n">
        <v>668949</v>
      </c>
      <c r="D12" s="56" t="n">
        <v>609591</v>
      </c>
      <c r="E12" s="56" t="n">
        <v>598099</v>
      </c>
      <c r="G12" s="25" t="s">
        <v>10</v>
      </c>
      <c r="H12" s="56" t="n">
        <v>1075995</v>
      </c>
      <c r="I12" s="56" t="n">
        <v>1057387</v>
      </c>
      <c r="J12" s="56" t="n">
        <v>1021494</v>
      </c>
      <c r="K12" s="56" t="n">
        <v>973078</v>
      </c>
      <c r="M12" s="25" t="s">
        <v>11</v>
      </c>
      <c r="N12" s="56" t="n">
        <v>166928</v>
      </c>
      <c r="O12" s="56" t="n">
        <v>160121</v>
      </c>
      <c r="P12" s="56" t="n">
        <v>140438</v>
      </c>
      <c r="Q12" s="56" t="n">
        <v>129026</v>
      </c>
    </row>
    <row r="13" customFormat="false" ht="15" hidden="false" customHeight="false" outlineLevel="0" collapsed="false">
      <c r="A13" s="25" t="s">
        <v>12</v>
      </c>
      <c r="B13" s="56" t="n">
        <v>81812</v>
      </c>
      <c r="C13" s="56" t="n">
        <v>105774</v>
      </c>
      <c r="D13" s="56" t="n">
        <v>77835</v>
      </c>
      <c r="E13" s="56" t="n">
        <v>80720</v>
      </c>
      <c r="G13" s="25" t="s">
        <v>13</v>
      </c>
      <c r="H13" s="56" t="n">
        <v>581980</v>
      </c>
      <c r="I13" s="56" t="n">
        <v>563964</v>
      </c>
      <c r="J13" s="56" t="n">
        <v>579056</v>
      </c>
      <c r="K13" s="56" t="n">
        <v>474285</v>
      </c>
      <c r="M13" s="25" t="s">
        <v>14</v>
      </c>
      <c r="N13" s="56" t="n">
        <v>7747</v>
      </c>
      <c r="O13" s="58" t="n">
        <v>-57594</v>
      </c>
      <c r="P13" s="58" t="n">
        <v>-17156</v>
      </c>
      <c r="Q13" s="58" t="n">
        <v>-243</v>
      </c>
    </row>
    <row r="14" customFormat="false" ht="15" hidden="false" customHeight="false" outlineLevel="0" collapsed="false">
      <c r="A14" s="25" t="s">
        <v>15</v>
      </c>
      <c r="B14" s="56" t="n">
        <v>1914339</v>
      </c>
      <c r="C14" s="56" t="n">
        <v>1879949</v>
      </c>
      <c r="D14" s="56" t="n">
        <v>1805602</v>
      </c>
      <c r="E14" s="56" t="n">
        <v>1571809</v>
      </c>
      <c r="G14" s="25" t="s">
        <v>16</v>
      </c>
      <c r="H14" s="56" t="n">
        <v>21739</v>
      </c>
      <c r="I14" s="56" t="n">
        <v>46430</v>
      </c>
      <c r="J14" s="58" t="n">
        <v>-748</v>
      </c>
      <c r="K14" s="56" t="n">
        <v>14634</v>
      </c>
      <c r="M14" s="25" t="s">
        <v>9</v>
      </c>
      <c r="N14" s="58" t="n">
        <v>-68564</v>
      </c>
      <c r="O14" s="58" t="n">
        <v>-59599</v>
      </c>
      <c r="P14" s="58" t="n">
        <v>-18222</v>
      </c>
      <c r="Q14" s="58" t="n">
        <v>-68139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603719</v>
      </c>
      <c r="I15" s="56" t="n">
        <v>610394</v>
      </c>
      <c r="J15" s="56" t="n">
        <v>578308</v>
      </c>
      <c r="K15" s="56" t="n">
        <v>488919</v>
      </c>
      <c r="M15" s="25" t="s">
        <v>19</v>
      </c>
      <c r="N15" s="58" t="n">
        <v>-17753</v>
      </c>
      <c r="O15" s="56" t="n">
        <v>19231</v>
      </c>
      <c r="P15" s="58" t="n">
        <v>-16995</v>
      </c>
      <c r="Q15" s="58" t="n">
        <v>-51799</v>
      </c>
    </row>
    <row r="16" customFormat="false" ht="15" hidden="false" customHeight="false" outlineLevel="0" collapsed="false">
      <c r="A16" s="25" t="s">
        <v>20</v>
      </c>
      <c r="B16" s="56" t="n">
        <v>3259444</v>
      </c>
      <c r="C16" s="56" t="n">
        <v>3017488</v>
      </c>
      <c r="D16" s="56" t="n">
        <v>2805788</v>
      </c>
      <c r="E16" s="56" t="n">
        <v>2545826</v>
      </c>
      <c r="G16" s="25" t="s">
        <v>21</v>
      </c>
      <c r="H16" s="56" t="n">
        <v>295908</v>
      </c>
      <c r="I16" s="56" t="n">
        <v>283255</v>
      </c>
      <c r="J16" s="56" t="n">
        <v>247994</v>
      </c>
      <c r="K16" s="56" t="n">
        <v>216397</v>
      </c>
      <c r="M16" s="25" t="s">
        <v>22</v>
      </c>
      <c r="N16" s="56" t="n">
        <v>38562</v>
      </c>
      <c r="O16" s="56" t="n">
        <v>25198</v>
      </c>
      <c r="P16" s="56" t="n">
        <v>93069</v>
      </c>
      <c r="Q16" s="56" t="n">
        <v>13857</v>
      </c>
    </row>
    <row r="17" customFormat="false" ht="15" hidden="false" customHeight="false" outlineLevel="0" collapsed="false">
      <c r="A17" s="25" t="s">
        <v>23</v>
      </c>
      <c r="B17" s="56" t="n">
        <v>618854</v>
      </c>
      <c r="C17" s="56" t="n">
        <v>662831</v>
      </c>
      <c r="D17" s="56" t="n">
        <v>802859</v>
      </c>
      <c r="E17" s="56" t="n">
        <v>618125</v>
      </c>
      <c r="G17" s="25" t="s">
        <v>11</v>
      </c>
      <c r="H17" s="57" t="n">
        <v>0</v>
      </c>
      <c r="I17" s="57" t="n">
        <v>0</v>
      </c>
      <c r="J17" s="57" t="n">
        <v>0</v>
      </c>
      <c r="K17" s="57" t="n">
        <v>0</v>
      </c>
      <c r="M17" s="25" t="s">
        <v>24</v>
      </c>
      <c r="N17" s="58" t="n">
        <v>-30333</v>
      </c>
      <c r="O17" s="58" t="n">
        <v>-8285</v>
      </c>
      <c r="P17" s="58" t="n">
        <v>-8841</v>
      </c>
      <c r="Q17" s="56" t="n">
        <v>18383</v>
      </c>
    </row>
    <row r="18" customFormat="false" ht="15" hidden="false" customHeight="false" outlineLevel="0" collapsed="false">
      <c r="A18" s="25" t="s">
        <v>25</v>
      </c>
      <c r="B18" s="56" t="n">
        <v>669176</v>
      </c>
      <c r="C18" s="56" t="n">
        <v>567121</v>
      </c>
      <c r="D18" s="56" t="n">
        <v>421480</v>
      </c>
      <c r="E18" s="56" t="n">
        <v>570250</v>
      </c>
      <c r="G18" s="25" t="s">
        <v>26</v>
      </c>
      <c r="H18" s="56" t="n">
        <v>8128</v>
      </c>
      <c r="I18" s="56" t="n">
        <v>8688</v>
      </c>
      <c r="J18" s="56" t="n">
        <v>12148</v>
      </c>
      <c r="K18" s="56" t="n">
        <v>16353</v>
      </c>
      <c r="M18" s="25" t="s">
        <v>27</v>
      </c>
      <c r="N18" s="58" t="n">
        <v>-201462</v>
      </c>
      <c r="O18" s="58" t="n">
        <v>-238589</v>
      </c>
      <c r="P18" s="58" t="n">
        <v>-375625</v>
      </c>
      <c r="Q18" s="58" t="n">
        <v>-285806</v>
      </c>
    </row>
    <row r="19" customFormat="false" ht="15" hidden="false" customHeight="false" outlineLevel="0" collapsed="false">
      <c r="A19" s="25" t="s">
        <v>28</v>
      </c>
      <c r="B19" s="56" t="n">
        <v>73520</v>
      </c>
      <c r="C19" s="56" t="n">
        <v>71841</v>
      </c>
      <c r="D19" s="56" t="n">
        <v>60273</v>
      </c>
      <c r="E19" s="56" t="n">
        <v>51620</v>
      </c>
      <c r="G19" s="25" t="s">
        <v>29</v>
      </c>
      <c r="H19" s="56" t="n">
        <v>304036</v>
      </c>
      <c r="I19" s="56" t="n">
        <v>291943</v>
      </c>
      <c r="J19" s="56" t="n">
        <v>260142</v>
      </c>
      <c r="K19" s="56" t="n">
        <v>232750</v>
      </c>
      <c r="M19" s="25" t="s">
        <v>30</v>
      </c>
      <c r="N19" s="56" t="n">
        <v>8290</v>
      </c>
      <c r="O19" s="58" t="n">
        <v>-21952</v>
      </c>
      <c r="P19" s="56" t="n">
        <v>3710</v>
      </c>
      <c r="Q19" s="58" t="n">
        <v>-23924</v>
      </c>
    </row>
    <row r="20" customFormat="false" ht="15" hidden="false" customHeight="false" outlineLevel="0" collapsed="false">
      <c r="A20" s="25" t="s">
        <v>31</v>
      </c>
      <c r="B20" s="56" t="n">
        <v>1897894</v>
      </c>
      <c r="C20" s="56" t="n">
        <v>1715695</v>
      </c>
      <c r="D20" s="56" t="n">
        <v>1521176</v>
      </c>
      <c r="E20" s="56" t="n">
        <v>1305831</v>
      </c>
      <c r="G20" s="25" t="s">
        <v>32</v>
      </c>
      <c r="H20" s="56" t="n">
        <v>299683</v>
      </c>
      <c r="I20" s="56" t="n">
        <v>318451</v>
      </c>
      <c r="J20" s="56" t="n">
        <v>318166</v>
      </c>
      <c r="K20" s="56" t="n">
        <v>256169</v>
      </c>
      <c r="M20" s="25" t="s">
        <v>33</v>
      </c>
      <c r="N20" s="56" t="n">
        <v>59757</v>
      </c>
      <c r="O20" s="56" t="n">
        <v>12681</v>
      </c>
      <c r="P20" s="58" t="n">
        <v>-29866</v>
      </c>
      <c r="Q20" s="56" t="n">
        <v>95069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15866</v>
      </c>
      <c r="I21" s="56" t="n">
        <v>8229</v>
      </c>
      <c r="J21" s="56" t="n">
        <v>8723</v>
      </c>
      <c r="K21" s="56" t="n">
        <v>8580</v>
      </c>
      <c r="M21" s="25" t="s">
        <v>36</v>
      </c>
      <c r="N21" s="58" t="n">
        <v>-131876</v>
      </c>
      <c r="O21" s="58" t="n">
        <v>-113110</v>
      </c>
      <c r="P21" s="58" t="n">
        <v>-95219</v>
      </c>
      <c r="Q21" s="58" t="n">
        <v>-89428</v>
      </c>
    </row>
    <row r="22" customFormat="false" ht="15" hidden="false" customHeight="false" outlineLevel="0" collapsed="false">
      <c r="A22" s="25" t="s">
        <v>37</v>
      </c>
      <c r="B22" s="56" t="n">
        <v>3259444</v>
      </c>
      <c r="C22" s="56" t="n">
        <v>3017488</v>
      </c>
      <c r="D22" s="56" t="n">
        <v>2805788</v>
      </c>
      <c r="E22" s="56" t="n">
        <v>2545826</v>
      </c>
      <c r="G22" s="25" t="s">
        <v>8</v>
      </c>
      <c r="H22" s="56" t="n">
        <v>283817</v>
      </c>
      <c r="I22" s="56" t="n">
        <v>310222</v>
      </c>
      <c r="J22" s="56" t="n">
        <v>309443</v>
      </c>
      <c r="K22" s="56" t="n">
        <v>247589</v>
      </c>
      <c r="M22" s="25" t="s">
        <v>38</v>
      </c>
      <c r="N22" s="56" t="n">
        <v>70443</v>
      </c>
      <c r="O22" s="56" t="n">
        <v>42119</v>
      </c>
      <c r="P22" s="56" t="n">
        <v>57383</v>
      </c>
      <c r="Q22" s="56" t="n">
        <v>64218</v>
      </c>
    </row>
    <row r="23" customFormat="false" ht="15" hidden="false" customHeight="false" outlineLevel="0" collapsed="false">
      <c r="B23" s="4" t="n">
        <f aca="false">B11+B12</f>
        <v>1263293</v>
      </c>
      <c r="C23" s="4" t="n">
        <f aca="false">C11+C12</f>
        <v>1031765</v>
      </c>
      <c r="D23" s="4" t="n">
        <f aca="false">D11+D12</f>
        <v>922351</v>
      </c>
      <c r="E23" s="4" t="n">
        <f aca="false">E11+E12</f>
        <v>893297</v>
      </c>
      <c r="G23" s="25" t="s">
        <v>39</v>
      </c>
      <c r="H23" s="56" t="n">
        <v>1151222</v>
      </c>
      <c r="I23" s="56" t="n">
        <v>961697</v>
      </c>
      <c r="J23" s="56" t="n">
        <v>778348</v>
      </c>
      <c r="K23" s="56" t="n">
        <v>769418</v>
      </c>
      <c r="M23" s="25" t="s">
        <v>40</v>
      </c>
      <c r="N23" s="56" t="n">
        <v>185556</v>
      </c>
      <c r="O23" s="56" t="n">
        <v>70443</v>
      </c>
      <c r="P23" s="56" t="n">
        <v>42119</v>
      </c>
      <c r="Q23" s="56" t="n">
        <v>57383</v>
      </c>
    </row>
    <row r="24" customFormat="false" ht="15" hidden="false" customHeight="false" outlineLevel="0" collapsed="false">
      <c r="G24" s="25" t="s">
        <v>41</v>
      </c>
      <c r="H24" s="56" t="n">
        <v>28382</v>
      </c>
      <c r="I24" s="56" t="n">
        <v>6797</v>
      </c>
      <c r="J24" s="56" t="n">
        <v>30944</v>
      </c>
      <c r="K24" s="56" t="n">
        <v>149759</v>
      </c>
      <c r="M24" s="2" t="s">
        <v>42</v>
      </c>
      <c r="N24" s="12" t="n">
        <f aca="false">SUM(N11:N17)</f>
        <v>380404</v>
      </c>
      <c r="O24" s="12" t="n">
        <f aca="false">SUM(O11:O17)</f>
        <v>389294</v>
      </c>
      <c r="P24" s="12" t="n">
        <f aca="false">SUM(P11:P17)</f>
        <v>481736</v>
      </c>
      <c r="Q24" s="12" t="n">
        <f aca="false">SUM(Q11:Q17)</f>
        <v>297254</v>
      </c>
    </row>
    <row r="25" customFormat="false" ht="15" hidden="false" customHeight="false" outlineLevel="0" collapsed="false">
      <c r="B25" s="28" t="n">
        <f aca="false">H20/B22</f>
        <v>0.0919429816864471</v>
      </c>
      <c r="G25" s="25" t="s">
        <v>43</v>
      </c>
      <c r="H25" s="56" t="n">
        <v>100000</v>
      </c>
      <c r="I25" s="56" t="n">
        <v>112500</v>
      </c>
      <c r="J25" s="56" t="n">
        <v>93750</v>
      </c>
      <c r="K25" s="56" t="n">
        <v>87500</v>
      </c>
      <c r="M25" s="2" t="s">
        <v>44</v>
      </c>
      <c r="N25" s="12" t="n">
        <f aca="false">N18+N19</f>
        <v>-193172</v>
      </c>
      <c r="O25" s="12" t="n">
        <f aca="false">O18+O19</f>
        <v>-260541</v>
      </c>
      <c r="P25" s="12" t="n">
        <f aca="false">P18+P19</f>
        <v>-371915</v>
      </c>
      <c r="Q25" s="12" t="n">
        <f aca="false">Q18+Q19</f>
        <v>-309730</v>
      </c>
    </row>
    <row r="26" customFormat="false" ht="15" hidden="false" customHeight="false" outlineLevel="0" collapsed="false">
      <c r="G26" s="25" t="s">
        <v>45</v>
      </c>
      <c r="H26" s="56" t="n">
        <v>126400</v>
      </c>
      <c r="I26" s="56" t="n">
        <v>1400</v>
      </c>
      <c r="J26" s="56" t="n">
        <v>1400</v>
      </c>
      <c r="K26" s="56" t="n">
        <v>1400</v>
      </c>
      <c r="M26" s="2" t="s">
        <v>46</v>
      </c>
      <c r="N26" s="12" t="n">
        <f aca="false">N20+N21</f>
        <v>-72119</v>
      </c>
      <c r="O26" s="12" t="n">
        <f aca="false">O20+O21</f>
        <v>-100429</v>
      </c>
      <c r="P26" s="12" t="n">
        <f aca="false">P20+P21</f>
        <v>-125085</v>
      </c>
      <c r="Q26" s="12" t="n">
        <f aca="false">Q20+Q21</f>
        <v>5641</v>
      </c>
    </row>
    <row r="27" customFormat="false" ht="15" hidden="false" customHeight="false" outlineLevel="0" collapsed="false">
      <c r="G27" s="25" t="s">
        <v>47</v>
      </c>
      <c r="H27" s="56" t="n">
        <v>1180257</v>
      </c>
      <c r="I27" s="56" t="n">
        <v>1151222</v>
      </c>
      <c r="J27" s="56" t="n">
        <v>961697</v>
      </c>
      <c r="K27" s="56" t="n">
        <v>778348</v>
      </c>
      <c r="M27" s="2" t="s">
        <v>48</v>
      </c>
      <c r="N27" s="12" t="n">
        <f aca="false">N24+N25+N26</f>
        <v>115113</v>
      </c>
      <c r="O27" s="12" t="n">
        <f aca="false">O24+O25+O26</f>
        <v>28324</v>
      </c>
      <c r="P27" s="12" t="n">
        <f aca="false">P24+P25+P26</f>
        <v>-15264</v>
      </c>
      <c r="Q27" s="12" t="n">
        <f aca="false">Q24+Q25+Q26</f>
        <v>-6835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0.161309720308126</v>
      </c>
      <c r="C30" s="24" t="n">
        <f aca="false">C11/C$16</f>
        <v>0.120237760680407</v>
      </c>
      <c r="D30" s="24" t="n">
        <f aca="false">D11/D$16</f>
        <v>0.111469576461229</v>
      </c>
      <c r="E30" s="24" t="n">
        <f aca="false">E11/E$16</f>
        <v>0.115953721896155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0.171182918922179</v>
      </c>
      <c r="O30" s="26" t="n">
        <f aca="false">O11/I$11</f>
        <v>0.191335497372253</v>
      </c>
      <c r="P30" s="26" t="n">
        <f aca="false">P11/J$11</f>
        <v>0.193335415950767</v>
      </c>
      <c r="Q30" s="26" t="n">
        <f aca="false">Q11/K$11</f>
        <v>0.176990153817667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0.226269572356512</v>
      </c>
      <c r="C31" s="24" t="n">
        <f aca="false">C12/C$16</f>
        <v>0.221690691064886</v>
      </c>
      <c r="D31" s="24" t="n">
        <f aca="false">D12/D$16</f>
        <v>0.217261959919994</v>
      </c>
      <c r="E31" s="24" t="n">
        <f aca="false">E12/E$16</f>
        <v>0.234933180822256</v>
      </c>
      <c r="F31" s="6"/>
      <c r="G31" s="25" t="s">
        <v>10</v>
      </c>
      <c r="H31" s="24" t="n">
        <f aca="false">H12/H$11</f>
        <v>0.648981438200214</v>
      </c>
      <c r="I31" s="24" t="n">
        <f aca="false">I12/I$11</f>
        <v>0.652164151994232</v>
      </c>
      <c r="J31" s="24" t="n">
        <f aca="false">J12/J$11</f>
        <v>0.638214363812439</v>
      </c>
      <c r="K31" s="24" t="n">
        <f aca="false">K12/K$11</f>
        <v>0.672310954473757</v>
      </c>
      <c r="L31" s="6"/>
      <c r="M31" s="25" t="s">
        <v>11</v>
      </c>
      <c r="N31" s="26" t="n">
        <f aca="false">N12/H$11</f>
        <v>0.100681855878406</v>
      </c>
      <c r="O31" s="26" t="n">
        <f aca="false">O12/I$11</f>
        <v>0.098757764358242</v>
      </c>
      <c r="P31" s="26" t="n">
        <f aca="false">P12/J$11</f>
        <v>0.0877435881415763</v>
      </c>
      <c r="Q31" s="26" t="n">
        <f aca="false">Q12/K$11</f>
        <v>0.0891455702543177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0.0250999863780448</v>
      </c>
      <c r="C32" s="24" t="n">
        <f aca="false">C13/C$16</f>
        <v>0.0350536605282275</v>
      </c>
      <c r="D32" s="24" t="n">
        <f aca="false">D13/D$16</f>
        <v>0.0277408699445575</v>
      </c>
      <c r="E32" s="24" t="n">
        <f aca="false">E13/E$16</f>
        <v>0.0317068016431602</v>
      </c>
      <c r="F32" s="6"/>
      <c r="G32" s="25" t="s">
        <v>13</v>
      </c>
      <c r="H32" s="24" t="n">
        <f aca="false">H13/H$11</f>
        <v>0.351018561799786</v>
      </c>
      <c r="I32" s="24" t="n">
        <f aca="false">I13/I$11</f>
        <v>0.347835848005768</v>
      </c>
      <c r="J32" s="24" t="n">
        <f aca="false">J13/J$11</f>
        <v>0.361785636187561</v>
      </c>
      <c r="K32" s="24" t="n">
        <f aca="false">K13/K$11</f>
        <v>0.327689045526243</v>
      </c>
      <c r="L32" s="6"/>
      <c r="M32" s="25" t="s">
        <v>14</v>
      </c>
      <c r="N32" s="26" t="n">
        <f aca="false">N13/H$11</f>
        <v>0.0046725674391954</v>
      </c>
      <c r="O32" s="26" t="n">
        <f aca="false">O13/I$11</f>
        <v>-0.0355222280678274</v>
      </c>
      <c r="P32" s="26" t="n">
        <f aca="false">P13/J$11</f>
        <v>-0.0107188154072038</v>
      </c>
      <c r="Q32" s="26" t="n">
        <f aca="false">Q13/K$11</f>
        <v>-0.000167891537921033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0.587320720957317</v>
      </c>
      <c r="C33" s="24" t="n">
        <f aca="false">C14/C$16</f>
        <v>0.62301788772648</v>
      </c>
      <c r="D33" s="24" t="n">
        <f aca="false">D14/D$16</f>
        <v>0.643527593674219</v>
      </c>
      <c r="E33" s="24" t="n">
        <f aca="false">E14/E$16</f>
        <v>0.617406295638429</v>
      </c>
      <c r="F33" s="6"/>
      <c r="G33" s="25" t="s">
        <v>16</v>
      </c>
      <c r="H33" s="24" t="n">
        <f aca="false">H14/H$11</f>
        <v>0.0131117779218625</v>
      </c>
      <c r="I33" s="24" t="n">
        <f aca="false">I14/I$11</f>
        <v>0.0286366123066504</v>
      </c>
      <c r="J33" s="24" t="n">
        <f aca="false">J14/J$11</f>
        <v>-0.000467339352097716</v>
      </c>
      <c r="K33" s="24" t="n">
        <f aca="false">K14/K$11</f>
        <v>0.0101108015059111</v>
      </c>
      <c r="L33" s="6"/>
      <c r="M33" s="25" t="s">
        <v>9</v>
      </c>
      <c r="N33" s="26" t="n">
        <f aca="false">N14/H$11</f>
        <v>-0.0413540614303593</v>
      </c>
      <c r="O33" s="26" t="n">
        <f aca="false">O14/I$11</f>
        <v>-0.0367588511062688</v>
      </c>
      <c r="P33" s="26" t="n">
        <f aca="false">P14/J$11</f>
        <v>-0.011384836462466</v>
      </c>
      <c r="Q33" s="26" t="n">
        <f aca="false">Q14/K$11</f>
        <v>-0.0470780308740793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0.364130339721648</v>
      </c>
      <c r="I34" s="24" t="n">
        <f aca="false">I15/I$11</f>
        <v>0.376472460312418</v>
      </c>
      <c r="J34" s="24" t="n">
        <f aca="false">J15/J$11</f>
        <v>0.361318296835463</v>
      </c>
      <c r="K34" s="24" t="n">
        <f aca="false">K15/K$11</f>
        <v>0.337799847032154</v>
      </c>
      <c r="L34" s="6"/>
      <c r="M34" s="25" t="s">
        <v>19</v>
      </c>
      <c r="N34" s="26" t="n">
        <f aca="false">N15/H$11</f>
        <v>-0.010707640344396</v>
      </c>
      <c r="O34" s="26" t="n">
        <f aca="false">O15/I$11</f>
        <v>0.0118610960859185</v>
      </c>
      <c r="P34" s="26" t="n">
        <f aca="false">P15/J$11</f>
        <v>-0.0106182249851614</v>
      </c>
      <c r="Q34" s="26" t="n">
        <f aca="false">Q15/K$11</f>
        <v>-0.0357885340443275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0.178475549993215</v>
      </c>
      <c r="I35" s="24" t="n">
        <f aca="false">I16/I$11</f>
        <v>0.174703071697615</v>
      </c>
      <c r="J35" s="24" t="n">
        <f aca="false">J16/J$11</f>
        <v>0.154942988347755</v>
      </c>
      <c r="K35" s="24" t="n">
        <f aca="false">K16/K$11</f>
        <v>0.149511214532913</v>
      </c>
      <c r="L35" s="6"/>
      <c r="M35" s="25" t="s">
        <v>22</v>
      </c>
      <c r="N35" s="26" t="n">
        <f aca="false">N16/H$11</f>
        <v>0.0232584930412099</v>
      </c>
      <c r="O35" s="26" t="n">
        <f aca="false">O16/I$11</f>
        <v>0.0155413602606715</v>
      </c>
      <c r="P35" s="26" t="n">
        <f aca="false">P16/J$11</f>
        <v>0.0581481365780513</v>
      </c>
      <c r="Q35" s="26" t="n">
        <f aca="false">Q16/K$11</f>
        <v>0.009573963131571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0.189864897203327</v>
      </c>
      <c r="C36" s="24" t="n">
        <f aca="false">C17/C$16</f>
        <v>0.21966317678811</v>
      </c>
      <c r="D36" s="24" t="n">
        <f aca="false">D17/D$16</f>
        <v>0.286143856912924</v>
      </c>
      <c r="E36" s="24" t="n">
        <f aca="false">E17/E$16</f>
        <v>0.242799390060436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-0.0182952095176345</v>
      </c>
      <c r="O36" s="26" t="n">
        <f aca="false">O17/I$11</f>
        <v>-0.00510993609650224</v>
      </c>
      <c r="P36" s="26" t="n">
        <f aca="false">P17/J$11</f>
        <v>-0.00552372621911218</v>
      </c>
      <c r="Q36" s="26" t="n">
        <f aca="false">Q17/K$11</f>
        <v>0.0127010293893101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0.205303726647858</v>
      </c>
      <c r="C37" s="24" t="n">
        <f aca="false">C18/C$16</f>
        <v>0.187944740791016</v>
      </c>
      <c r="D37" s="24" t="n">
        <f aca="false">D18/D$16</f>
        <v>0.150218049261028</v>
      </c>
      <c r="E37" s="24" t="n">
        <f aca="false">E18/E$16</f>
        <v>0.223994098575472</v>
      </c>
      <c r="F37" s="6"/>
      <c r="G37" s="25" t="s">
        <v>26</v>
      </c>
      <c r="H37" s="24" t="n">
        <f aca="false">H18/H$11</f>
        <v>0.00490236583784436</v>
      </c>
      <c r="I37" s="24" t="n">
        <f aca="false">I18/I$11</f>
        <v>0.00535849424338098</v>
      </c>
      <c r="J37" s="24" t="n">
        <f aca="false">J18/J$11</f>
        <v>0.00758989097497735</v>
      </c>
      <c r="K37" s="24" t="n">
        <f aca="false">K18/K$11</f>
        <v>0.0112984786815747</v>
      </c>
      <c r="L37" s="6"/>
      <c r="M37" s="25" t="s">
        <v>27</v>
      </c>
      <c r="N37" s="26" t="n">
        <f aca="false">N18/H$11</f>
        <v>-0.121510879235212</v>
      </c>
      <c r="O37" s="26" t="n">
        <f aca="false">O18/I$11</f>
        <v>-0.147154440956955</v>
      </c>
      <c r="P37" s="26" t="n">
        <f aca="false">P18/J$11</f>
        <v>-0.234684952047734</v>
      </c>
      <c r="Q37" s="26" t="n">
        <f aca="false">Q18/K$11</f>
        <v>-0.197466703238925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0.0225559942125099</v>
      </c>
      <c r="C38" s="24" t="n">
        <f aca="false">C19/C$16</f>
        <v>0.0238082139846124</v>
      </c>
      <c r="D38" s="24" t="n">
        <f aca="false">D19/D$16</f>
        <v>0.0214816657566431</v>
      </c>
      <c r="E38" s="24" t="n">
        <f aca="false">E19/E$16</f>
        <v>0.0202763268188792</v>
      </c>
      <c r="F38" s="6"/>
      <c r="G38" s="25" t="s">
        <v>29</v>
      </c>
      <c r="H38" s="24" t="n">
        <f aca="false">H19/H$11</f>
        <v>0.183377915831059</v>
      </c>
      <c r="I38" s="24" t="n">
        <f aca="false">I19/I$11</f>
        <v>0.180061565940996</v>
      </c>
      <c r="J38" s="24" t="n">
        <f aca="false">J19/J$11</f>
        <v>0.162532879322733</v>
      </c>
      <c r="K38" s="24" t="n">
        <f aca="false">K19/K$11</f>
        <v>0.160809693214487</v>
      </c>
      <c r="L38" s="6"/>
      <c r="M38" s="25" t="s">
        <v>30</v>
      </c>
      <c r="N38" s="26" t="n">
        <f aca="false">N19/H$11</f>
        <v>0.00500007539317541</v>
      </c>
      <c r="O38" s="26" t="n">
        <f aca="false">O19/I$11</f>
        <v>-0.0135393261545464</v>
      </c>
      <c r="P38" s="26" t="n">
        <f aca="false">P19/J$11</f>
        <v>0.00231795320358627</v>
      </c>
      <c r="Q38" s="26" t="n">
        <f aca="false">Q19/K$11</f>
        <v>-0.0165293710009168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0.582275381936306</v>
      </c>
      <c r="C39" s="24" t="n">
        <f aca="false">C20/C$16</f>
        <v>0.568583868436262</v>
      </c>
      <c r="D39" s="24" t="n">
        <f aca="false">D20/D$16</f>
        <v>0.542156428069405</v>
      </c>
      <c r="E39" s="24" t="n">
        <f aca="false">E20/E$16</f>
        <v>0.512930184545212</v>
      </c>
      <c r="F39" s="6"/>
      <c r="G39" s="25" t="s">
        <v>32</v>
      </c>
      <c r="H39" s="24" t="n">
        <f aca="false">H20/H$11</f>
        <v>0.180752423890589</v>
      </c>
      <c r="I39" s="24" t="n">
        <f aca="false">I20/I$11</f>
        <v>0.196410894371422</v>
      </c>
      <c r="J39" s="24" t="n">
        <f aca="false">J20/J$11</f>
        <v>0.19878541751273</v>
      </c>
      <c r="K39" s="24" t="n">
        <f aca="false">K20/K$11</f>
        <v>0.176990153817667</v>
      </c>
      <c r="L39" s="6"/>
      <c r="M39" s="25" t="s">
        <v>33</v>
      </c>
      <c r="N39" s="26" t="n">
        <f aca="false">N20/H$11</f>
        <v>0.0360421598636891</v>
      </c>
      <c r="O39" s="26" t="n">
        <f aca="false">O20/I$11</f>
        <v>0.00782125523714483</v>
      </c>
      <c r="P39" s="26" t="n">
        <f aca="false">P20/J$11</f>
        <v>-0.0186598356814845</v>
      </c>
      <c r="Q39" s="26" t="n">
        <f aca="false">Q20/K$11</f>
        <v>0.0656842823811304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0.00956950496841026</v>
      </c>
      <c r="I40" s="24" t="n">
        <f aca="false">I21/I$11</f>
        <v>0.00507539699916921</v>
      </c>
      <c r="J40" s="24" t="n">
        <f aca="false">J21/J$11</f>
        <v>0.00545000156196308</v>
      </c>
      <c r="K40" s="24" t="n">
        <f aca="false">K21/K$11</f>
        <v>0.00592802220313771</v>
      </c>
      <c r="L40" s="6"/>
      <c r="M40" s="25" t="s">
        <v>36</v>
      </c>
      <c r="N40" s="26" t="n">
        <f aca="false">N21/H$11</f>
        <v>-0.0795404032027021</v>
      </c>
      <c r="O40" s="26" t="n">
        <f aca="false">O21/I$11</f>
        <v>-0.0697628089167614</v>
      </c>
      <c r="P40" s="26" t="n">
        <f aca="false">P21/J$11</f>
        <v>-0.0594914248227172</v>
      </c>
      <c r="Q40" s="26" t="n">
        <f aca="false">Q21/K$11</f>
        <v>-0.0617868496016549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0.171182918922179</v>
      </c>
      <c r="I41" s="24" t="n">
        <f aca="false">I22/I$11</f>
        <v>0.191335497372253</v>
      </c>
      <c r="J41" s="24" t="n">
        <f aca="false">J22/J$11</f>
        <v>0.193335415950767</v>
      </c>
      <c r="K41" s="24" t="n">
        <f aca="false">K22/K$11</f>
        <v>0.171062131614529</v>
      </c>
      <c r="L41" s="6"/>
      <c r="M41" s="25" t="s">
        <v>38</v>
      </c>
      <c r="N41" s="26" t="n">
        <f aca="false">N22/H$11</f>
        <v>0.0424873716431189</v>
      </c>
      <c r="O41" s="26" t="n">
        <f aca="false">O22/I$11</f>
        <v>0.0259777185816026</v>
      </c>
      <c r="P41" s="26" t="n">
        <f aca="false">P22/J$11</f>
        <v>0.0358520508575177</v>
      </c>
      <c r="Q41" s="26" t="n">
        <f aca="false">Q22/K$11</f>
        <v>0.0443689661819461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0.694354257452615</v>
      </c>
      <c r="I42" s="24" t="n">
        <f aca="false">I23/I$11</f>
        <v>0.593145469426423</v>
      </c>
      <c r="J42" s="24" t="n">
        <f aca="false">J23/J$11</f>
        <v>0.486300334260098</v>
      </c>
      <c r="K42" s="24" t="n">
        <f aca="false">K23/K$11</f>
        <v>0.531599881992285</v>
      </c>
      <c r="L42" s="6"/>
      <c r="M42" s="25" t="s">
        <v>40</v>
      </c>
      <c r="N42" s="26" t="n">
        <f aca="false">N23/H$11</f>
        <v>0.11191724845067</v>
      </c>
      <c r="O42" s="26" t="n">
        <f aca="false">O23/I$11</f>
        <v>0.0434471005969713</v>
      </c>
      <c r="P42" s="26" t="n">
        <f aca="false">P23/J$11</f>
        <v>0.0263153291056199</v>
      </c>
      <c r="Q42" s="26" t="n">
        <f aca="false">Q23/K$11</f>
        <v>0.0396465848581178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0.0171184728358389</v>
      </c>
      <c r="I43" s="24" t="n">
        <f aca="false">I24/I$11</f>
        <v>0.0041921829387961</v>
      </c>
      <c r="J43" s="24" t="n">
        <f aca="false">J24/J$11</f>
        <v>0.0193333541595077</v>
      </c>
      <c r="K43" s="24" t="n">
        <f aca="false">K24/K$11</f>
        <v>0.103470242088543</v>
      </c>
      <c r="L43" s="6"/>
      <c r="M43" s="2" t="s">
        <v>49</v>
      </c>
      <c r="N43" s="26" t="n">
        <f aca="false">N24/H11</f>
        <v>0.2294389239886</v>
      </c>
      <c r="O43" s="26" t="n">
        <f aca="false">O24/I11</f>
        <v>0.240104702806487</v>
      </c>
      <c r="P43" s="26" t="n">
        <f aca="false">P24/J11</f>
        <v>0.300981537596451</v>
      </c>
      <c r="Q43" s="26" t="n">
        <f aca="false">Q24/K11</f>
        <v>0.205376260136538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0.0603145403278095</v>
      </c>
      <c r="I44" s="24" t="n">
        <f aca="false">I25/I$11</f>
        <v>0.0693865794636695</v>
      </c>
      <c r="J44" s="24" t="n">
        <f aca="false">J25/J$11</f>
        <v>0.0585736153197338</v>
      </c>
      <c r="K44" s="24" t="n">
        <f aca="false">K25/K$11</f>
        <v>0.0604547718851456</v>
      </c>
      <c r="L44" s="6"/>
      <c r="M44" s="2" t="s">
        <v>50</v>
      </c>
      <c r="N44" s="26" t="n">
        <f aca="false">N24/B16</f>
        <v>0.116708248400647</v>
      </c>
      <c r="O44" s="26" t="n">
        <f aca="false">O24/C16</f>
        <v>0.129012609163649</v>
      </c>
      <c r="P44" s="26" t="n">
        <f aca="false">P24/D16</f>
        <v>0.171693656113719</v>
      </c>
      <c r="Q44" s="26" t="n">
        <f aca="false">Q24/E16</f>
        <v>0.116761318330475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0.0762375789743512</v>
      </c>
      <c r="I45" s="24" t="n">
        <f aca="false">I26/I$11</f>
        <v>0.000863477433325665</v>
      </c>
      <c r="J45" s="24" t="n">
        <f aca="false">J26/J$11</f>
        <v>0.000874699322108025</v>
      </c>
      <c r="K45" s="24" t="n">
        <f aca="false">K26/K$11</f>
        <v>0.00096727635016233</v>
      </c>
      <c r="L45" s="6"/>
      <c r="M45" s="2" t="s">
        <v>51</v>
      </c>
      <c r="N45" s="26" t="n">
        <f aca="false">N24/B20</f>
        <v>0.20043479772843</v>
      </c>
      <c r="O45" s="26" t="n">
        <f aca="false">O24/C20</f>
        <v>0.226901634614544</v>
      </c>
      <c r="P45" s="26" t="n">
        <f aca="false">P24/D20</f>
        <v>0.316686563553461</v>
      </c>
      <c r="Q45" s="26" t="n">
        <f aca="false">Q24/E20</f>
        <v>0.227635888564447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0.711866584236795</v>
      </c>
      <c r="I46" s="24" t="n">
        <f aca="false">I27/I$11</f>
        <v>0.710038726962885</v>
      </c>
      <c r="J46" s="24" t="n">
        <f aca="false">J27/J$11</f>
        <v>0.600854081409515</v>
      </c>
      <c r="K46" s="24" t="n">
        <f aca="false">K27/K$11</f>
        <v>0.537769723282964</v>
      </c>
      <c r="L46" s="6"/>
      <c r="M46" s="2" t="s">
        <v>52</v>
      </c>
      <c r="N46" s="26" t="n">
        <f aca="false">N24/H22</f>
        <v>1.34031435749092</v>
      </c>
      <c r="O46" s="26" t="n">
        <f aca="false">O24/I22</f>
        <v>1.25488843473384</v>
      </c>
      <c r="P46" s="26" t="n">
        <f aca="false">P24/J22</f>
        <v>1.55678428660529</v>
      </c>
      <c r="Q46" s="26" t="n">
        <f aca="false">Q24/K22</f>
        <v>1.20059453368284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0.279390400646322</v>
      </c>
      <c r="O47" s="26" t="n">
        <f aca="false">O24/(C22-C20)</f>
        <v>0.299044471740131</v>
      </c>
      <c r="P47" s="26" t="n">
        <f aca="false">P24/(D22-D20)</f>
        <v>0.375005059893571</v>
      </c>
      <c r="Q47" s="26" t="n">
        <f aca="false">Q24/(E22-E20)</f>
        <v>0.239721934362639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3.80404</v>
      </c>
      <c r="O48" s="26" t="n">
        <f aca="false">O24/I25</f>
        <v>3.46039111111111</v>
      </c>
      <c r="P48" s="26" t="n">
        <f aca="false">P24/J25</f>
        <v>5.13851733333333</v>
      </c>
      <c r="Q48" s="26" t="n">
        <f aca="false">Q24/K25</f>
        <v>3.39718857142857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1.88821713275953</v>
      </c>
      <c r="O49" s="26" t="n">
        <f aca="false">O24/(O18*-1)</f>
        <v>1.63165108198618</v>
      </c>
      <c r="P49" s="26" t="n">
        <f aca="false">P24/(P18*-1)</f>
        <v>1.2824918469218</v>
      </c>
      <c r="Q49" s="26" t="n">
        <f aca="false">Q24/(Q18*-1)</f>
        <v>1.04005514229932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0.0314456632061874</v>
      </c>
      <c r="I50" s="28" t="n">
        <f aca="false">LN(I13/J13)</f>
        <v>-0.0264087717025855</v>
      </c>
      <c r="J50" s="28" t="n">
        <f aca="false">LN(J13/K13)</f>
        <v>0.199590784546212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2.04134254606095</v>
      </c>
      <c r="C51" s="30" t="n">
        <f aca="false">C23/C17</f>
        <v>1.55660341776411</v>
      </c>
      <c r="D51" s="30" t="n">
        <f aca="false">D23/D17</f>
        <v>1.14883310768142</v>
      </c>
      <c r="E51" s="30" t="n">
        <f aca="false">E23/E17</f>
        <v>1.44517209302326</v>
      </c>
      <c r="G51" s="29" t="s">
        <v>58</v>
      </c>
      <c r="H51" s="63" t="n">
        <f aca="false">H13/H11</f>
        <v>0.351018561799786</v>
      </c>
      <c r="I51" s="63" t="n">
        <f aca="false">I13/I11</f>
        <v>0.347835848005768</v>
      </c>
      <c r="J51" s="63" t="n">
        <f aca="false">J13/J11</f>
        <v>0.36178563618756</v>
      </c>
      <c r="K51" s="63" t="n">
        <f aca="false">K13/K11</f>
        <v>0.327689045526243</v>
      </c>
      <c r="M51" s="2" t="s">
        <v>59</v>
      </c>
      <c r="N51" s="32" t="n">
        <f aca="false">(N11-N24-N25)/B16</f>
        <v>0.0296323544751804</v>
      </c>
      <c r="O51" s="32" t="n">
        <f aca="false">(O11-O24-O25)/C16</f>
        <v>0.0601390958307042</v>
      </c>
      <c r="P51" s="32" t="n">
        <f aca="false">(P11-P24-P25)/D16</f>
        <v>0.071146501446296</v>
      </c>
      <c r="Q51" s="32" t="n">
        <f aca="false">(Q11-Q24-Q25)/E16</f>
        <v>0.105523708218865</v>
      </c>
    </row>
    <row r="52" customFormat="false" ht="15" hidden="false" customHeight="false" outlineLevel="0" collapsed="false">
      <c r="A52" s="29" t="s">
        <v>60</v>
      </c>
      <c r="B52" s="49" t="n">
        <f aca="false">H20/B16</f>
        <v>0.0919429816864471</v>
      </c>
      <c r="C52" s="49" t="n">
        <f aca="false">I20/C16</f>
        <v>0.105535133859687</v>
      </c>
      <c r="D52" s="49" t="n">
        <f aca="false">J20/D16</f>
        <v>0.113396307917776</v>
      </c>
      <c r="E52" s="49" t="n">
        <f aca="false">K20/E16</f>
        <v>0.100623137637843</v>
      </c>
      <c r="F52" s="31"/>
      <c r="G52" s="29" t="s">
        <v>61</v>
      </c>
      <c r="H52" s="63" t="n">
        <f aca="false">H16/H11</f>
        <v>0.178475549993215</v>
      </c>
      <c r="I52" s="63" t="n">
        <f aca="false">I16/I11</f>
        <v>0.174703071697615</v>
      </c>
      <c r="J52" s="63" t="n">
        <f aca="false">J16/J11</f>
        <v>0.154942988347755</v>
      </c>
      <c r="K52" s="63" t="n">
        <f aca="false">K16/K11</f>
        <v>0.149511214532913</v>
      </c>
      <c r="M52" s="6"/>
    </row>
    <row r="53" customFormat="false" ht="15" hidden="false" customHeight="false" outlineLevel="0" collapsed="false">
      <c r="A53" s="29" t="s">
        <v>62</v>
      </c>
      <c r="B53" s="49" t="n">
        <f aca="false">H20/B20</f>
        <v>0.157902917655043</v>
      </c>
      <c r="C53" s="49" t="n">
        <f aca="false">I20/C20</f>
        <v>0.185610496038049</v>
      </c>
      <c r="D53" s="49" t="n">
        <f aca="false">J20/D20</f>
        <v>0.209157914666022</v>
      </c>
      <c r="E53" s="49" t="n">
        <f aca="false">K20/E20</f>
        <v>0.196173164827608</v>
      </c>
      <c r="G53" s="29" t="s">
        <v>11</v>
      </c>
      <c r="H53" s="71" t="n">
        <f aca="false">H17/H11</f>
        <v>0</v>
      </c>
      <c r="I53" s="71" t="n">
        <f aca="false">I17/I11</f>
        <v>0</v>
      </c>
      <c r="J53" s="71" t="n">
        <f aca="false">J17/J11</f>
        <v>0</v>
      </c>
      <c r="K53" s="7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2.24806206805846</v>
      </c>
      <c r="C54" s="30" t="n">
        <f aca="false">I11/C12</f>
        <v>2.4237288642333</v>
      </c>
      <c r="D54" s="30" t="n">
        <f aca="false">J11/D12</f>
        <v>2.62561291095177</v>
      </c>
      <c r="E54" s="30" t="n">
        <f aca="false">K11/E12</f>
        <v>2.41993883955666</v>
      </c>
      <c r="G54" s="29" t="s">
        <v>64</v>
      </c>
      <c r="H54" s="63" t="n">
        <f aca="false">H25/H22</f>
        <v>0.352339711856584</v>
      </c>
      <c r="I54" s="63" t="n">
        <f aca="false">I25/I22</f>
        <v>0.362643526248944</v>
      </c>
      <c r="J54" s="63" t="n">
        <f aca="false">J25/J22</f>
        <v>0.302963712218405</v>
      </c>
      <c r="K54" s="63" t="n">
        <f aca="false">K25/K22</f>
        <v>0.353408269349608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0.417724618063694</v>
      </c>
      <c r="C55" s="31" t="n">
        <f aca="false">(C22-C20)/C16</f>
        <v>0.431416131563738</v>
      </c>
      <c r="D55" s="31" t="n">
        <f aca="false">(D22-D20)/D16</f>
        <v>0.457843571930595</v>
      </c>
      <c r="E55" s="31" t="n">
        <f aca="false">(E22-E20)/E16</f>
        <v>0.487069815454788</v>
      </c>
      <c r="G55" s="29" t="s">
        <v>66</v>
      </c>
      <c r="H55" s="63" t="n">
        <f aca="false">H22/H11</f>
        <v>0.171182918922179</v>
      </c>
      <c r="I55" s="63" t="n">
        <f aca="false">I22/I11</f>
        <v>0.191335497372253</v>
      </c>
      <c r="J55" s="63" t="n">
        <f aca="false">J22/J11</f>
        <v>0.193335415950767</v>
      </c>
      <c r="K55" s="63" t="n">
        <f aca="false">K22/K11</f>
        <v>0.171062131614529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0.717400444914205</v>
      </c>
      <c r="C56" s="31" t="n">
        <f aca="false">(C22-C20)/C20</f>
        <v>0.758755489757795</v>
      </c>
      <c r="D56" s="31" t="n">
        <f aca="false">(D22-D20)/D20</f>
        <v>0.844486108116352</v>
      </c>
      <c r="E56" s="31" t="n">
        <f aca="false">(E22-E20)/E20</f>
        <v>0.949583062433041</v>
      </c>
      <c r="G56" s="33" t="s">
        <v>68</v>
      </c>
      <c r="H56" s="34" t="n">
        <f aca="false">H13/B16</f>
        <v>0.178551924806808</v>
      </c>
      <c r="I56" s="34" t="n">
        <f aca="false">I13/C16</f>
        <v>0.186898506307233</v>
      </c>
      <c r="J56" s="34" t="n">
        <f aca="false">J13/D16</f>
        <v>0.206379099204929</v>
      </c>
      <c r="K56" s="34" t="n">
        <f aca="false">K13/E16</f>
        <v>0.186299063643784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0.508668042770485</v>
      </c>
      <c r="C57" s="30" t="n">
        <f aca="false">I11/C16</f>
        <v>0.53731812686579</v>
      </c>
      <c r="D57" s="30" t="n">
        <f aca="false">J11/D16</f>
        <v>0.570445807024622</v>
      </c>
      <c r="E57" s="30" t="n">
        <f aca="false">K11/E16</f>
        <v>0.568523928972365</v>
      </c>
      <c r="G57" s="33" t="s">
        <v>70</v>
      </c>
      <c r="H57" s="35" t="n">
        <f aca="false">H25/$B$5</f>
        <v>60.6244316459533</v>
      </c>
      <c r="I57" s="35" t="n">
        <f aca="false">I25/$B$5</f>
        <v>68.2024856016975</v>
      </c>
      <c r="J57" s="35" t="n">
        <f aca="false">J25/$B$5</f>
        <v>56.8354046680812</v>
      </c>
      <c r="K57" s="35" t="n">
        <f aca="false">K25/$B$5</f>
        <v>53.0463776902092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1.7174004449142</v>
      </c>
      <c r="C58" s="30" t="n">
        <f aca="false">C16/C20</f>
        <v>1.7587554897578</v>
      </c>
      <c r="D58" s="30" t="n">
        <f aca="false">D16/D20</f>
        <v>1.84448610811635</v>
      </c>
      <c r="E58" s="30" t="n">
        <f aca="false">E16/E20</f>
        <v>1.94958306243304</v>
      </c>
      <c r="G58" s="36" t="s">
        <v>72</v>
      </c>
      <c r="H58" s="37" t="n">
        <f aca="false">H22/$B$7/1000</f>
        <v>5.67634</v>
      </c>
      <c r="I58" s="37" t="n">
        <f aca="false">I22/$B$7/1000</f>
        <v>6.20444</v>
      </c>
      <c r="J58" s="37" t="n">
        <f aca="false">J22/$B$7/1000</f>
        <v>6.18886</v>
      </c>
      <c r="K58" s="37" t="n">
        <f aca="false">K22/$B$7/1000</f>
        <v>4.95178</v>
      </c>
      <c r="M58" s="6"/>
    </row>
    <row r="59" customFormat="false" ht="14.25" hidden="false" customHeight="true" outlineLevel="0" collapsed="false">
      <c r="G59" s="36" t="s">
        <v>73</v>
      </c>
      <c r="H59" s="37" t="n">
        <f aca="false">B20/$B$7/1000</f>
        <v>37.95788</v>
      </c>
      <c r="I59" s="37" t="n">
        <f aca="false">C20/$B$7/1000</f>
        <v>34.3139</v>
      </c>
      <c r="J59" s="37" t="n">
        <f aca="false">D20/$B$7/1000</f>
        <v>30.42352</v>
      </c>
      <c r="K59" s="37" t="n">
        <f aca="false">E20/$B$7/1000</f>
        <v>26.11662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69.6267996721234</v>
      </c>
      <c r="I60" s="38" t="n">
        <f aca="false">SQRT(22.5*I58*I59)</f>
        <v>69.2113936329128</v>
      </c>
      <c r="J60" s="38" t="n">
        <f aca="false">SQRT(22.5*J58*J59)</f>
        <v>65.0880586952169</v>
      </c>
      <c r="K60" s="38" t="n">
        <f aca="false">SQRT(22.5*K58*K59)</f>
        <v>53.9424185880741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2.6397096</v>
      </c>
      <c r="I61" s="39" t="n">
        <f aca="false">I58-(C20*0.08/1000/$B$7)</f>
        <v>3.459328</v>
      </c>
      <c r="J61" s="39" t="n">
        <f aca="false">J58-(D20*0.08/1000/$B$7)</f>
        <v>3.7549784</v>
      </c>
      <c r="K61" s="39" t="n">
        <f aca="false">K58-(E20*0.08/1000/$B$7)</f>
        <v>2.8624504</v>
      </c>
      <c r="M61" s="6"/>
    </row>
    <row r="62" customFormat="false" ht="15" hidden="false" customHeight="false" outlineLevel="0" collapsed="false">
      <c r="G62" s="2" t="s">
        <v>76</v>
      </c>
      <c r="H62" s="69" t="n">
        <v>2</v>
      </c>
      <c r="I62" s="69" t="n">
        <v>2</v>
      </c>
      <c r="J62" s="69" t="n">
        <v>2.25</v>
      </c>
      <c r="K62" s="69" t="n">
        <v>1.88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0.990932918824295</v>
      </c>
      <c r="I64" s="6" t="n">
        <f aca="false">J51/I51</f>
        <v>1.04010451556897</v>
      </c>
      <c r="J64" s="6" t="n">
        <f aca="false">K51/J51</f>
        <v>0.905754714253939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1.0225885696558</v>
      </c>
      <c r="I65" s="6" t="n">
        <f aca="false">I11/J11</f>
        <v>1.01299615757084</v>
      </c>
      <c r="J65" s="6" t="n">
        <f aca="false">J11/K11</f>
        <v>1.10583868732308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-0.120642546157077</v>
      </c>
      <c r="I66" s="6" t="n">
        <f aca="false">(O13/1948687)/(P13/1747778)</f>
        <v>3.01096276585236</v>
      </c>
      <c r="J66" s="6" t="n">
        <f aca="false">(P13/1948687)/(Q13/1747778)</f>
        <v>63.3219010032968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1.02159365750666</v>
      </c>
      <c r="I67" s="6" t="n">
        <f aca="false">I52/J52</f>
        <v>1.12753131690935</v>
      </c>
      <c r="J67" s="6" t="n">
        <f aca="false">J52/K52</f>
        <v>1.03633020995657</v>
      </c>
      <c r="M67" s="6"/>
    </row>
    <row r="68" customFormat="false" ht="15" hidden="false" customHeight="false" outlineLevel="0" collapsed="false">
      <c r="G68" s="2" t="s">
        <v>109</v>
      </c>
      <c r="H68" s="2" t="n">
        <v>0</v>
      </c>
      <c r="I68" s="2" t="n">
        <v>0</v>
      </c>
      <c r="J68" s="2" t="n">
        <v>0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0.976486188623477</v>
      </c>
      <c r="I69" s="6" t="n">
        <f aca="false">C58/D58</f>
        <v>0.953520594174543</v>
      </c>
      <c r="J69" s="6" t="n">
        <f aca="false">D58/E58</f>
        <v>0.946092599827201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1.34159067167956</v>
      </c>
      <c r="I70" s="6" t="n">
        <f aca="false">((1-C11)/C16)/((1-D11)/D16)</f>
        <v>1.07866036220109</v>
      </c>
      <c r="J70" s="6" t="n">
        <f aca="false">((1-D11)/D16)/((1-E11)/E16)</f>
        <v>0.961328328594235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-0.0289411322912742</v>
      </c>
      <c r="I71" s="6" t="n">
        <f aca="false">((I13-I16-I17)-O24)/C16</f>
        <v>-0.0359852300986781</v>
      </c>
      <c r="J71" s="6" t="n">
        <f aca="false">((J13-J16-J17)-P24)/D16</f>
        <v>-0.0537011349396319</v>
      </c>
      <c r="K71" s="6" t="n">
        <f aca="false">((K13-K16-K17)-Q24)/E16</f>
        <v>-0.0154629577983727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-3.60458851697691</v>
      </c>
      <c r="I72" s="6" t="n">
        <f aca="false">-4.84 + 0.92 *I66  + 0.528 *I64 + 0.404 *I70 + 0.892 *I65 + 0.115 *I68 - 0.172 *I67- 0.327 *I69 + 4.697 *I71</f>
        <v>-0.856126958889963</v>
      </c>
      <c r="J72" s="6" t="n">
        <f aca="false">-4.84 + 0.92 *J66  + 0.528 *J64 + 0.404 *J70 + 0.892 *J65 + 0.115 *J68 - 0.172 *J67- 0.327 *J69 + 4.697 *J71</f>
        <v>54.529316858936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CARE</v>
      </c>
      <c r="J73" s="6" t="str">
        <f aca="false">IF(J72&gt;-2.22,"CARE","Good")</f>
        <v>CARE</v>
      </c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1.15058745074265</v>
      </c>
      <c r="I74" s="6" t="n">
        <f aca="false">I59*$B$7/$B$5</f>
        <v>1.04013034252804</v>
      </c>
      <c r="J74" s="6" t="n">
        <f aca="false">J59*$B$7/$B$5</f>
        <v>0.922204304334647</v>
      </c>
      <c r="K74" s="6" t="n">
        <f aca="false">K59*$B$7/$B$5</f>
        <v>0.791652622006669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0.108940595874562</v>
      </c>
      <c r="I77" s="28" t="n">
        <f aca="false">(I15-I16)/$B$6</f>
        <v>0.115781169593706</v>
      </c>
      <c r="J77" s="28" t="n">
        <f aca="false">(J15-J16)/$B$6</f>
        <v>0.116904866901151</v>
      </c>
      <c r="K77" s="28" t="n">
        <f aca="false">(K15-K16)/$B$6</f>
        <v>0.0964510984627821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4" min="1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79" t="n">
        <v>2150</v>
      </c>
      <c r="C1" s="79" t="n">
        <v>2150</v>
      </c>
      <c r="O1" s="6"/>
    </row>
    <row r="2" customFormat="false" ht="15" hidden="false" customHeight="false" outlineLevel="0" collapsed="false">
      <c r="A2" s="2"/>
      <c r="B2" s="79" t="str">
        <f aca="false">IFERROR(__xludf.dummyfunction("GoogleFinance(""TADAWUL:""&amp;B1,""eps"")"),"1.99")</f>
        <v>1.99</v>
      </c>
      <c r="C2" s="79" t="str">
        <f aca="false">IFERROR(__xludf.dummyfunction("GoogleFinance(""TADAWUL:""&amp;B1,""eps"")"),"1.99")</f>
        <v>1.99</v>
      </c>
      <c r="O2" s="6"/>
    </row>
    <row r="3" customFormat="false" ht="15" hidden="false" customHeight="false" outlineLevel="0" collapsed="false">
      <c r="A3" s="2"/>
      <c r="B3" s="2"/>
      <c r="C3" s="2"/>
      <c r="O3" s="6"/>
    </row>
    <row r="4" customFormat="false" ht="15" hidden="false" customHeight="false" outlineLevel="0" collapsed="false">
      <c r="A4" s="2"/>
      <c r="B4" s="80"/>
      <c r="C4" s="80"/>
      <c r="O4" s="6"/>
    </row>
    <row r="5" customFormat="false" ht="15" hidden="false" customHeight="false" outlineLevel="0" collapsed="false">
      <c r="A5" s="2" t="s">
        <v>0</v>
      </c>
      <c r="B5" s="81" t="str">
        <f aca="false">IFERROR(__xludf.dummyfunction("GoogleFinance(""TADAWUL:""&amp;B1,""marketcap"")/1000000"),"686.30")</f>
        <v>686.30</v>
      </c>
      <c r="C5" s="81" t="str">
        <f aca="false">IFERROR(__xludf.dummyfunction("GoogleFinance(""TADAWUL:""&amp;B1,""marketcap"")/1000000"),"686.30")</f>
        <v>686.30</v>
      </c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829115</v>
      </c>
      <c r="C6" s="4" t="n">
        <f aca="false">C5*1000+(C22-C20)-Q23</f>
        <v>766030</v>
      </c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IFERROR(__xludf.dummyfunction("GoogleFinance(""TADAWUL:""&amp;B1,""shares"")/1000000"),"32.932066")</f>
        <v>32.932066</v>
      </c>
      <c r="C7" s="5" t="str">
        <f aca="false">IFERROR(__xludf.dummyfunction("GoogleFinance(""TADAWUL:""&amp;B1,""shares"")/1000000"),"32.932066")</f>
        <v>32.932066</v>
      </c>
      <c r="O7" s="6"/>
    </row>
    <row r="8" customFormat="false" ht="15" hidden="false" customHeight="false" outlineLevel="0" collapsed="false">
      <c r="O8" s="6"/>
    </row>
    <row r="9" customFormat="false" ht="15" hidden="false" customHeight="false" outlineLevel="0" collapsed="false"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46818</v>
      </c>
      <c r="C11" s="11" t="n">
        <v>102866</v>
      </c>
      <c r="D11" s="11" t="n">
        <v>159789</v>
      </c>
      <c r="E11" s="11" t="n">
        <v>101420</v>
      </c>
      <c r="F11" s="56" t="n">
        <v>95911</v>
      </c>
      <c r="H11" s="10" t="s">
        <v>7</v>
      </c>
      <c r="I11" s="11" t="n">
        <v>100820</v>
      </c>
      <c r="J11" s="11" t="n">
        <v>103890</v>
      </c>
      <c r="K11" s="11" t="n">
        <v>100031</v>
      </c>
      <c r="L11" s="11" t="n">
        <v>102019</v>
      </c>
      <c r="M11" s="56" t="n">
        <v>112746</v>
      </c>
      <c r="O11" s="10" t="s">
        <v>8</v>
      </c>
      <c r="P11" s="11" t="n">
        <v>22056</v>
      </c>
      <c r="Q11" s="11" t="n">
        <v>45107</v>
      </c>
      <c r="R11" s="11" t="n">
        <v>61510</v>
      </c>
      <c r="S11" s="11" t="n">
        <v>44925</v>
      </c>
      <c r="T11" s="56" t="n">
        <v>43658</v>
      </c>
    </row>
    <row r="12" customFormat="false" ht="15" hidden="false" customHeight="false" outlineLevel="0" collapsed="false">
      <c r="A12" s="10" t="s">
        <v>9</v>
      </c>
      <c r="B12" s="11" t="n">
        <v>28649</v>
      </c>
      <c r="C12" s="11" t="n">
        <v>15207</v>
      </c>
      <c r="D12" s="11" t="n">
        <v>13536</v>
      </c>
      <c r="E12" s="11" t="n">
        <v>15147</v>
      </c>
      <c r="F12" s="56" t="n">
        <v>12059</v>
      </c>
      <c r="H12" s="10" t="s">
        <v>10</v>
      </c>
      <c r="I12" s="11" t="n">
        <v>73503</v>
      </c>
      <c r="J12" s="11" t="n">
        <v>69568</v>
      </c>
      <c r="K12" s="11" t="n">
        <v>63301</v>
      </c>
      <c r="L12" s="11" t="n">
        <v>64825</v>
      </c>
      <c r="M12" s="56" t="n">
        <v>70912</v>
      </c>
      <c r="O12" s="10" t="s">
        <v>11</v>
      </c>
      <c r="P12" s="11" t="n">
        <v>21646</v>
      </c>
      <c r="Q12" s="11" t="n">
        <v>10221</v>
      </c>
      <c r="R12" s="11" t="n">
        <v>8393</v>
      </c>
      <c r="S12" s="11" t="n">
        <v>10984</v>
      </c>
      <c r="T12" s="56" t="n">
        <v>12445</v>
      </c>
    </row>
    <row r="13" customFormat="false" ht="15" hidden="false" customHeight="false" outlineLevel="0" collapsed="false">
      <c r="A13" s="10" t="s">
        <v>12</v>
      </c>
      <c r="B13" s="11" t="n">
        <v>281446</v>
      </c>
      <c r="C13" s="11" t="n">
        <v>253530</v>
      </c>
      <c r="D13" s="11" t="n">
        <v>242420</v>
      </c>
      <c r="E13" s="11" t="n">
        <v>312889</v>
      </c>
      <c r="F13" s="56" t="n">
        <v>343836</v>
      </c>
      <c r="H13" s="10" t="s">
        <v>13</v>
      </c>
      <c r="I13" s="11" t="n">
        <v>27317</v>
      </c>
      <c r="J13" s="11" t="n">
        <v>34322</v>
      </c>
      <c r="K13" s="11" t="n">
        <v>36730</v>
      </c>
      <c r="L13" s="11" t="n">
        <v>37194</v>
      </c>
      <c r="M13" s="56" t="n">
        <v>41834</v>
      </c>
      <c r="O13" s="10" t="s">
        <v>14</v>
      </c>
      <c r="P13" s="13" t="n">
        <v>-1679</v>
      </c>
      <c r="Q13" s="13" t="n">
        <v>-5709</v>
      </c>
      <c r="R13" s="11" t="n">
        <v>2554</v>
      </c>
      <c r="S13" s="11" t="n">
        <v>4664</v>
      </c>
      <c r="T13" s="58" t="n">
        <v>-4519</v>
      </c>
    </row>
    <row r="14" customFormat="false" ht="15" hidden="false" customHeight="false" outlineLevel="0" collapsed="false">
      <c r="A14" s="10" t="s">
        <v>15</v>
      </c>
      <c r="B14" s="11" t="n">
        <v>321386</v>
      </c>
      <c r="C14" s="11" t="n">
        <v>285898</v>
      </c>
      <c r="D14" s="11" t="n">
        <v>238019</v>
      </c>
      <c r="E14" s="11" t="n">
        <v>114490</v>
      </c>
      <c r="F14" s="56" t="n">
        <v>48395</v>
      </c>
      <c r="H14" s="10" t="s">
        <v>16</v>
      </c>
      <c r="I14" s="11" t="n">
        <v>22787</v>
      </c>
      <c r="J14" s="11" t="n">
        <v>29514</v>
      </c>
      <c r="K14" s="11" t="n">
        <v>43897</v>
      </c>
      <c r="L14" s="11" t="n">
        <v>25075</v>
      </c>
      <c r="M14" s="56" t="n">
        <v>25314</v>
      </c>
      <c r="O14" s="10" t="s">
        <v>9</v>
      </c>
      <c r="P14" s="13" t="n">
        <v>-13442</v>
      </c>
      <c r="Q14" s="13" t="n">
        <v>-1671</v>
      </c>
      <c r="R14" s="11" t="n">
        <v>1611</v>
      </c>
      <c r="S14" s="13" t="n">
        <v>-3088</v>
      </c>
      <c r="T14" s="56" t="n">
        <v>637</v>
      </c>
    </row>
    <row r="15" customFormat="false" ht="15" hidden="false" customHeight="false" outlineLevel="0" collapsed="false">
      <c r="A15" s="10" t="s">
        <v>17</v>
      </c>
      <c r="B15" s="11" t="n">
        <v>48862</v>
      </c>
      <c r="C15" s="11" t="n">
        <v>83934</v>
      </c>
      <c r="D15" s="11" t="n">
        <v>106388</v>
      </c>
      <c r="E15" s="11" t="n">
        <v>95600</v>
      </c>
      <c r="F15" s="56" t="n">
        <v>112026</v>
      </c>
      <c r="H15" s="10" t="s">
        <v>18</v>
      </c>
      <c r="I15" s="11" t="n">
        <v>50104</v>
      </c>
      <c r="J15" s="11" t="n">
        <v>63836</v>
      </c>
      <c r="K15" s="11" t="n">
        <v>80627</v>
      </c>
      <c r="L15" s="11" t="n">
        <v>62269</v>
      </c>
      <c r="M15" s="56" t="n">
        <v>67148</v>
      </c>
      <c r="O15" s="10" t="s">
        <v>19</v>
      </c>
      <c r="P15" s="13" t="n">
        <v>-2588</v>
      </c>
      <c r="Q15" s="13" t="n">
        <v>-991</v>
      </c>
      <c r="R15" s="11" t="n">
        <v>1066</v>
      </c>
      <c r="S15" s="13" t="n">
        <v>-1546</v>
      </c>
      <c r="T15" s="56" t="n">
        <v>3</v>
      </c>
    </row>
    <row r="16" customFormat="false" ht="15" hidden="false" customHeight="false" outlineLevel="0" collapsed="false">
      <c r="A16" s="10" t="s">
        <v>20</v>
      </c>
      <c r="B16" s="11" t="n">
        <v>727161</v>
      </c>
      <c r="C16" s="11" t="n">
        <v>741435</v>
      </c>
      <c r="D16" s="11" t="n">
        <v>760152</v>
      </c>
      <c r="E16" s="11" t="n">
        <v>639546</v>
      </c>
      <c r="F16" s="56" t="n">
        <v>612227</v>
      </c>
      <c r="H16" s="10" t="s">
        <v>21</v>
      </c>
      <c r="I16" s="11" t="n">
        <v>14043</v>
      </c>
      <c r="J16" s="11" t="n">
        <v>13976</v>
      </c>
      <c r="K16" s="11" t="n">
        <v>12377</v>
      </c>
      <c r="L16" s="11" t="n">
        <v>12586</v>
      </c>
      <c r="M16" s="56" t="n">
        <v>12500</v>
      </c>
      <c r="O16" s="10" t="s">
        <v>22</v>
      </c>
      <c r="P16" s="13" t="n">
        <v>-3497</v>
      </c>
      <c r="Q16" s="13" t="n">
        <v>-4766</v>
      </c>
      <c r="R16" s="11" t="n">
        <v>5598</v>
      </c>
      <c r="S16" s="11" t="n">
        <v>3229</v>
      </c>
      <c r="T16" s="56" t="n">
        <v>689</v>
      </c>
    </row>
    <row r="17" customFormat="false" ht="15" hidden="false" customHeight="false" outlineLevel="0" collapsed="false">
      <c r="A17" s="10" t="s">
        <v>23</v>
      </c>
      <c r="B17" s="11" t="n">
        <v>57698</v>
      </c>
      <c r="C17" s="11" t="n">
        <v>55824</v>
      </c>
      <c r="D17" s="11" t="n">
        <v>45978</v>
      </c>
      <c r="E17" s="11" t="n">
        <v>37700</v>
      </c>
      <c r="F17" s="56" t="n">
        <v>37847</v>
      </c>
      <c r="H17" s="10" t="s">
        <v>11</v>
      </c>
      <c r="I17" s="18"/>
      <c r="J17" s="18"/>
      <c r="K17" s="18"/>
      <c r="L17" s="18"/>
      <c r="M17" s="57" t="n">
        <v>0</v>
      </c>
      <c r="O17" s="10" t="s">
        <v>24</v>
      </c>
      <c r="P17" s="13" t="n">
        <v>-12938</v>
      </c>
      <c r="Q17" s="13" t="n">
        <v>-23733</v>
      </c>
      <c r="R17" s="13" t="n">
        <v>-29789</v>
      </c>
      <c r="S17" s="13" t="n">
        <v>-15689</v>
      </c>
      <c r="T17" s="58" t="n">
        <v>-13176</v>
      </c>
    </row>
    <row r="18" customFormat="false" ht="15" hidden="false" customHeight="false" outlineLevel="0" collapsed="false">
      <c r="A18" s="10" t="s">
        <v>25</v>
      </c>
      <c r="B18" s="11" t="n">
        <v>93389</v>
      </c>
      <c r="C18" s="11" t="n">
        <v>93729</v>
      </c>
      <c r="D18" s="11" t="n">
        <v>85597</v>
      </c>
      <c r="E18" s="11" t="n">
        <v>965</v>
      </c>
      <c r="F18" s="57"/>
      <c r="H18" s="10" t="s">
        <v>26</v>
      </c>
      <c r="I18" s="11" t="n">
        <v>10909</v>
      </c>
      <c r="J18" s="18"/>
      <c r="K18" s="18"/>
      <c r="L18" s="18"/>
      <c r="M18" s="56" t="n">
        <v>5135</v>
      </c>
      <c r="O18" s="10" t="s">
        <v>27</v>
      </c>
      <c r="P18" s="13" t="n">
        <v>-57133</v>
      </c>
      <c r="Q18" s="13" t="n">
        <v>-58101</v>
      </c>
      <c r="R18" s="13" t="n">
        <v>-131922</v>
      </c>
      <c r="S18" s="13" t="n">
        <v>-78321</v>
      </c>
      <c r="T18" s="58" t="n">
        <v>-3300</v>
      </c>
    </row>
    <row r="19" customFormat="false" ht="15" hidden="false" customHeight="false" outlineLevel="0" collapsed="false">
      <c r="A19" s="10" t="s">
        <v>28</v>
      </c>
      <c r="B19" s="11" t="n">
        <v>13797</v>
      </c>
      <c r="C19" s="11" t="n">
        <v>12561</v>
      </c>
      <c r="D19" s="11" t="n">
        <v>11763</v>
      </c>
      <c r="E19" s="11" t="n">
        <v>10212</v>
      </c>
      <c r="F19" s="56" t="n">
        <v>10045</v>
      </c>
      <c r="H19" s="10" t="s">
        <v>29</v>
      </c>
      <c r="I19" s="11" t="n">
        <v>24952</v>
      </c>
      <c r="J19" s="11" t="n">
        <v>13976</v>
      </c>
      <c r="K19" s="11" t="n">
        <v>12377</v>
      </c>
      <c r="L19" s="11" t="n">
        <v>12586</v>
      </c>
      <c r="M19" s="56" t="n">
        <v>17635</v>
      </c>
      <c r="O19" s="10" t="s">
        <v>30</v>
      </c>
      <c r="P19" s="11" t="n">
        <v>30562</v>
      </c>
      <c r="Q19" s="11" t="n">
        <v>27277</v>
      </c>
      <c r="R19" s="11" t="n">
        <v>96604</v>
      </c>
      <c r="S19" s="11" t="n">
        <v>84980</v>
      </c>
      <c r="T19" s="56" t="n">
        <v>24033</v>
      </c>
    </row>
    <row r="20" customFormat="false" ht="15" hidden="false" customHeight="false" outlineLevel="0" collapsed="false">
      <c r="A20" s="10" t="s">
        <v>31</v>
      </c>
      <c r="B20" s="11" t="n">
        <v>562277</v>
      </c>
      <c r="C20" s="11" t="n">
        <v>579321</v>
      </c>
      <c r="D20" s="11" t="n">
        <v>616814</v>
      </c>
      <c r="E20" s="11" t="n">
        <v>590669</v>
      </c>
      <c r="F20" s="56" t="n">
        <v>564335</v>
      </c>
      <c r="H20" s="10" t="s">
        <v>32</v>
      </c>
      <c r="I20" s="11" t="n">
        <v>25152</v>
      </c>
      <c r="J20" s="11" t="n">
        <v>49860</v>
      </c>
      <c r="K20" s="11" t="n">
        <v>68250</v>
      </c>
      <c r="L20" s="11" t="n">
        <v>49683</v>
      </c>
      <c r="M20" s="56" t="n">
        <v>49513</v>
      </c>
      <c r="O20" s="10" t="s">
        <v>33</v>
      </c>
      <c r="P20" s="13" t="n">
        <v>-4234</v>
      </c>
      <c r="Q20" s="11" t="n">
        <v>31187</v>
      </c>
      <c r="R20" s="11" t="n">
        <v>85439</v>
      </c>
      <c r="S20" s="13" t="n">
        <v>-2230</v>
      </c>
      <c r="T20" s="58" t="n">
        <v>-8800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8"/>
      <c r="F21" s="59"/>
      <c r="H21" s="10" t="s">
        <v>35</v>
      </c>
      <c r="I21" s="11" t="n">
        <v>3096</v>
      </c>
      <c r="J21" s="11" t="n">
        <v>4753</v>
      </c>
      <c r="K21" s="11" t="n">
        <v>6740</v>
      </c>
      <c r="L21" s="11" t="n">
        <v>4758</v>
      </c>
      <c r="M21" s="56" t="n">
        <v>5855</v>
      </c>
      <c r="O21" s="10" t="s">
        <v>36</v>
      </c>
      <c r="P21" s="13" t="n">
        <v>-39068</v>
      </c>
      <c r="Q21" s="13" t="n">
        <v>-82444</v>
      </c>
      <c r="R21" s="13" t="n">
        <v>-39074</v>
      </c>
      <c r="S21" s="13" t="n">
        <v>-39281</v>
      </c>
      <c r="T21" s="58" t="n">
        <v>-68696</v>
      </c>
    </row>
    <row r="22" customFormat="false" ht="15" hidden="false" customHeight="false" outlineLevel="0" collapsed="false">
      <c r="A22" s="10" t="s">
        <v>37</v>
      </c>
      <c r="B22" s="11" t="n">
        <v>727161</v>
      </c>
      <c r="C22" s="11" t="n">
        <v>741435</v>
      </c>
      <c r="D22" s="11" t="n">
        <v>760152</v>
      </c>
      <c r="E22" s="11" t="n">
        <v>639546</v>
      </c>
      <c r="F22" s="56" t="n">
        <v>612227</v>
      </c>
      <c r="H22" s="10" t="s">
        <v>8</v>
      </c>
      <c r="I22" s="11" t="n">
        <v>22056</v>
      </c>
      <c r="J22" s="11" t="n">
        <v>45107</v>
      </c>
      <c r="K22" s="11" t="n">
        <v>61510</v>
      </c>
      <c r="L22" s="11" t="n">
        <v>44925</v>
      </c>
      <c r="M22" s="56" t="n">
        <v>43658</v>
      </c>
      <c r="O22" s="10" t="s">
        <v>38</v>
      </c>
      <c r="P22" s="11" t="n">
        <v>82384</v>
      </c>
      <c r="Q22" s="11" t="n">
        <v>146007</v>
      </c>
      <c r="R22" s="11" t="n">
        <v>84017</v>
      </c>
      <c r="S22" s="11" t="n">
        <v>75390</v>
      </c>
      <c r="T22" s="56" t="n">
        <v>92416</v>
      </c>
    </row>
    <row r="23" customFormat="false" ht="15" hidden="false" customHeight="false" outlineLevel="0" collapsed="false">
      <c r="B23" s="4" t="n">
        <f aca="false">B11+B12</f>
        <v>75467</v>
      </c>
      <c r="C23" s="4" t="n">
        <f aca="false">C11+C12</f>
        <v>118073</v>
      </c>
      <c r="D23" s="4" t="n">
        <f aca="false">D11+D12</f>
        <v>173325</v>
      </c>
      <c r="E23" s="4" t="n">
        <f aca="false">E11+E12</f>
        <v>116567</v>
      </c>
      <c r="F23" s="4" t="n">
        <f aca="false">F11+F12</f>
        <v>107970</v>
      </c>
      <c r="H23" s="10" t="s">
        <v>39</v>
      </c>
      <c r="I23" s="11" t="n">
        <v>191355</v>
      </c>
      <c r="J23" s="11" t="n">
        <v>233359</v>
      </c>
      <c r="K23" s="11" t="n">
        <v>217100</v>
      </c>
      <c r="L23" s="11" t="n">
        <v>215768</v>
      </c>
      <c r="M23" s="56" t="n">
        <v>245575</v>
      </c>
      <c r="O23" s="10" t="s">
        <v>40</v>
      </c>
      <c r="P23" s="11" t="n">
        <v>22069</v>
      </c>
      <c r="Q23" s="11" t="n">
        <v>82384</v>
      </c>
      <c r="R23" s="11" t="n">
        <v>146007</v>
      </c>
      <c r="S23" s="11" t="n">
        <v>84017</v>
      </c>
      <c r="T23" s="56" t="n">
        <v>75390</v>
      </c>
    </row>
    <row r="24" customFormat="false" ht="15" hidden="false" customHeight="false" outlineLevel="0" collapsed="false">
      <c r="H24" s="10" t="s">
        <v>41</v>
      </c>
      <c r="I24" s="11" t="n">
        <v>2205</v>
      </c>
      <c r="J24" s="11" t="n">
        <v>4511</v>
      </c>
      <c r="K24" s="11" t="n">
        <v>6151</v>
      </c>
      <c r="L24" s="11" t="n">
        <v>4493</v>
      </c>
      <c r="M24" s="56" t="n">
        <v>4365</v>
      </c>
      <c r="O24" s="2" t="s">
        <v>42</v>
      </c>
      <c r="P24" s="12" t="n">
        <f aca="false">SUM(P11:P17)</f>
        <v>9558</v>
      </c>
      <c r="Q24" s="12" t="n">
        <f aca="false">SUM(Q11:Q17)</f>
        <v>18458</v>
      </c>
      <c r="R24" s="12" t="n">
        <f aca="false">SUM(R11:R17)</f>
        <v>50943</v>
      </c>
      <c r="S24" s="12" t="n">
        <f aca="false">SUM(S11:S17)</f>
        <v>43479</v>
      </c>
      <c r="T24" s="12" t="n">
        <f aca="false">SUM(T11:T17)</f>
        <v>39737</v>
      </c>
    </row>
    <row r="25" customFormat="false" ht="15" hidden="false" customHeight="false" outlineLevel="0" collapsed="false">
      <c r="H25" s="10" t="s">
        <v>43</v>
      </c>
      <c r="I25" s="11" t="n">
        <v>37500</v>
      </c>
      <c r="J25" s="11" t="n">
        <v>81000</v>
      </c>
      <c r="K25" s="11" t="n">
        <v>37500</v>
      </c>
      <c r="L25" s="11" t="n">
        <v>37500</v>
      </c>
      <c r="M25" s="56" t="n">
        <v>67500</v>
      </c>
      <c r="O25" s="2" t="s">
        <v>44</v>
      </c>
      <c r="P25" s="12" t="n">
        <f aca="false">P18+P19</f>
        <v>-26571</v>
      </c>
      <c r="Q25" s="12" t="n">
        <f aca="false">Q18+Q19</f>
        <v>-30824</v>
      </c>
      <c r="R25" s="12" t="n">
        <f aca="false">R18+R19</f>
        <v>-35318</v>
      </c>
      <c r="S25" s="12" t="n">
        <f aca="false">S18+S19</f>
        <v>6659</v>
      </c>
      <c r="T25" s="12" t="n">
        <f aca="false">T18+T19</f>
        <v>20733</v>
      </c>
    </row>
    <row r="26" customFormat="false" ht="15" hidden="false" customHeight="false" outlineLevel="0" collapsed="false">
      <c r="H26" s="10" t="s">
        <v>45</v>
      </c>
      <c r="I26" s="11" t="n">
        <v>1600</v>
      </c>
      <c r="J26" s="11" t="n">
        <v>1600</v>
      </c>
      <c r="K26" s="11" t="n">
        <v>1600</v>
      </c>
      <c r="L26" s="11" t="n">
        <v>1600</v>
      </c>
      <c r="M26" s="56" t="n">
        <v>1600</v>
      </c>
      <c r="O26" s="2" t="s">
        <v>46</v>
      </c>
      <c r="P26" s="12" t="n">
        <f aca="false">P20+P21</f>
        <v>-43302</v>
      </c>
      <c r="Q26" s="12" t="n">
        <f aca="false">Q20+Q21</f>
        <v>-51257</v>
      </c>
      <c r="R26" s="12" t="n">
        <f aca="false">R20+R21</f>
        <v>46365</v>
      </c>
      <c r="S26" s="12" t="n">
        <f aca="false">S20+S21</f>
        <v>-41511</v>
      </c>
      <c r="T26" s="12" t="n">
        <f aca="false">T20+T21</f>
        <v>-77496</v>
      </c>
    </row>
    <row r="27" customFormat="false" ht="15" hidden="false" customHeight="false" outlineLevel="0" collapsed="false">
      <c r="H27" s="10" t="s">
        <v>47</v>
      </c>
      <c r="I27" s="11" t="n">
        <v>172106</v>
      </c>
      <c r="J27" s="11" t="n">
        <v>191355</v>
      </c>
      <c r="K27" s="11" t="n">
        <v>233359</v>
      </c>
      <c r="L27" s="11" t="n">
        <v>217100</v>
      </c>
      <c r="M27" s="56" t="n">
        <v>215768</v>
      </c>
      <c r="O27" s="2" t="s">
        <v>48</v>
      </c>
      <c r="P27" s="12" t="n">
        <f aca="false">P24+P25+P26</f>
        <v>-60315</v>
      </c>
      <c r="Q27" s="12" t="n">
        <f aca="false">Q24+Q25+Q26</f>
        <v>-63623</v>
      </c>
      <c r="R27" s="12" t="n">
        <f aca="false">R24+R25+R26</f>
        <v>61990</v>
      </c>
      <c r="S27" s="12" t="n">
        <f aca="false">S24+S25+S26</f>
        <v>8627</v>
      </c>
      <c r="T27" s="12" t="n">
        <f aca="false">T24+T25+T26</f>
        <v>-17026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0.0643846410904875</v>
      </c>
      <c r="C30" s="24" t="n">
        <f aca="false">C11/C$16</f>
        <v>0.138739066809633</v>
      </c>
      <c r="D30" s="24" t="n">
        <f aca="false">D11/D$16</f>
        <v>0.21020664288195</v>
      </c>
      <c r="E30" s="24" t="n">
        <f aca="false">E11/E$16</f>
        <v>0.158581243569657</v>
      </c>
      <c r="F30" s="24" t="n">
        <f aca="false">F11/F$16</f>
        <v>0.156659213004327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0.218766117833763</v>
      </c>
      <c r="Q30" s="26" t="n">
        <f aca="false">Q11/J$11</f>
        <v>0.434180383097507</v>
      </c>
      <c r="R30" s="26" t="n">
        <f aca="false">R11/K$11</f>
        <v>0.614909378092791</v>
      </c>
      <c r="S30" s="26" t="n">
        <f aca="false">S11/L$11</f>
        <v>0.44035914878601</v>
      </c>
      <c r="T30" s="26" t="n">
        <f aca="false">T11/M$11</f>
        <v>0.387224380465826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0.0393984275834375</v>
      </c>
      <c r="C31" s="24" t="n">
        <f aca="false">C12/C$16</f>
        <v>0.0205102267899411</v>
      </c>
      <c r="D31" s="24" t="n">
        <f aca="false">D12/D$16</f>
        <v>0.0178069649228049</v>
      </c>
      <c r="E31" s="24" t="n">
        <f aca="false">E12/E$16</f>
        <v>0.023683988329221</v>
      </c>
      <c r="F31" s="24" t="n">
        <f aca="false">F12/F$16</f>
        <v>0.0196969424739517</v>
      </c>
      <c r="G31" s="6"/>
      <c r="H31" s="25" t="s">
        <v>10</v>
      </c>
      <c r="I31" s="24" t="n">
        <f aca="false">I12/I$11</f>
        <v>0.729051775441381</v>
      </c>
      <c r="J31" s="24" t="n">
        <f aca="false">J12/J$11</f>
        <v>0.669631340841274</v>
      </c>
      <c r="K31" s="24" t="n">
        <f aca="false">K12/K$11</f>
        <v>0.632813827713409</v>
      </c>
      <c r="L31" s="24" t="n">
        <f aca="false">L12/L$11</f>
        <v>0.635420852978367</v>
      </c>
      <c r="M31" s="24" t="n">
        <f aca="false">M12/M$11</f>
        <v>0.628953577067036</v>
      </c>
      <c r="N31" s="6"/>
      <c r="O31" s="25" t="s">
        <v>11</v>
      </c>
      <c r="P31" s="26" t="n">
        <f aca="false">P12/I$11</f>
        <v>0.214699464391986</v>
      </c>
      <c r="Q31" s="26" t="n">
        <f aca="false">Q12/J$11</f>
        <v>0.0983829049956685</v>
      </c>
      <c r="R31" s="26" t="n">
        <f aca="false">R12/K$11</f>
        <v>0.0839039897631734</v>
      </c>
      <c r="S31" s="26" t="n">
        <f aca="false">S12/L$11</f>
        <v>0.10766621903763</v>
      </c>
      <c r="T31" s="26" t="n">
        <f aca="false">T12/M$11</f>
        <v>0.110380856083586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0.38704771020448</v>
      </c>
      <c r="C32" s="24" t="n">
        <f aca="false">C13/C$16</f>
        <v>0.341945012037468</v>
      </c>
      <c r="D32" s="24" t="n">
        <f aca="false">D13/D$16</f>
        <v>0.31890990223008</v>
      </c>
      <c r="E32" s="24" t="n">
        <f aca="false">E13/E$16</f>
        <v>0.48923611436863</v>
      </c>
      <c r="F32" s="24" t="n">
        <f aca="false">F13/F$16</f>
        <v>0.561615217884869</v>
      </c>
      <c r="G32" s="6"/>
      <c r="H32" s="25" t="s">
        <v>13</v>
      </c>
      <c r="I32" s="24" t="n">
        <f aca="false">I13/I$11</f>
        <v>0.270948224558619</v>
      </c>
      <c r="J32" s="24" t="n">
        <f aca="false">J13/J$11</f>
        <v>0.330368659158726</v>
      </c>
      <c r="K32" s="24" t="n">
        <f aca="false">K13/K$11</f>
        <v>0.367186172286591</v>
      </c>
      <c r="L32" s="24" t="n">
        <f aca="false">L13/L$11</f>
        <v>0.364579147021633</v>
      </c>
      <c r="M32" s="24" t="n">
        <f aca="false">M13/M$11</f>
        <v>0.371046422932964</v>
      </c>
      <c r="N32" s="6"/>
      <c r="O32" s="25" t="s">
        <v>14</v>
      </c>
      <c r="P32" s="26" t="n">
        <f aca="false">P13/I$11</f>
        <v>-0.0166534417774251</v>
      </c>
      <c r="Q32" s="26" t="n">
        <f aca="false">Q13/J$11</f>
        <v>-0.0549523534507652</v>
      </c>
      <c r="R32" s="26" t="n">
        <f aca="false">R13/K$11</f>
        <v>0.0255320850536334</v>
      </c>
      <c r="S32" s="26" t="n">
        <f aca="false">S13/L$11</f>
        <v>0.045716974289103</v>
      </c>
      <c r="T32" s="26" t="n">
        <f aca="false">T13/M$11</f>
        <v>-0.0400812445674348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0.441973648201705</v>
      </c>
      <c r="C33" s="24" t="n">
        <f aca="false">C14/C$16</f>
        <v>0.385600895560636</v>
      </c>
      <c r="D33" s="24" t="n">
        <f aca="false">D14/D$16</f>
        <v>0.313120270682706</v>
      </c>
      <c r="E33" s="24" t="n">
        <f aca="false">E14/E$16</f>
        <v>0.179017615621081</v>
      </c>
      <c r="F33" s="24" t="n">
        <f aca="false">F14/F$16</f>
        <v>0.0790474774879252</v>
      </c>
      <c r="G33" s="6"/>
      <c r="H33" s="25" t="s">
        <v>16</v>
      </c>
      <c r="I33" s="24" t="n">
        <f aca="false">I14/I$11</f>
        <v>0.226016663360444</v>
      </c>
      <c r="J33" s="24" t="n">
        <f aca="false">J14/J$11</f>
        <v>0.284088940225238</v>
      </c>
      <c r="K33" s="24" t="n">
        <f aca="false">K14/K$11</f>
        <v>0.438833961471944</v>
      </c>
      <c r="L33" s="24" t="n">
        <f aca="false">L14/L$11</f>
        <v>0.245787549378057</v>
      </c>
      <c r="M33" s="24" t="n">
        <f aca="false">M14/M$11</f>
        <v>0.224522377734022</v>
      </c>
      <c r="N33" s="6"/>
      <c r="O33" s="25" t="s">
        <v>9</v>
      </c>
      <c r="P33" s="26" t="n">
        <f aca="false">P14/I$11</f>
        <v>-0.133326720888713</v>
      </c>
      <c r="Q33" s="26" t="n">
        <f aca="false">Q14/J$11</f>
        <v>-0.0160843199537973</v>
      </c>
      <c r="R33" s="26" t="n">
        <f aca="false">R14/K$11</f>
        <v>0.0161050074476912</v>
      </c>
      <c r="S33" s="26" t="n">
        <f aca="false">S14/L$11</f>
        <v>-0.0302688714847234</v>
      </c>
      <c r="T33" s="26" t="n">
        <f aca="false">T14/M$11</f>
        <v>0.0056498678445355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0.0671955729198898</v>
      </c>
      <c r="C34" s="24" t="n">
        <f aca="false">C15/C$16</f>
        <v>0.113204798802323</v>
      </c>
      <c r="D34" s="24" t="n">
        <f aca="false">D15/D$16</f>
        <v>0.139956219282459</v>
      </c>
      <c r="E34" s="24" t="n">
        <f aca="false">E15/E$16</f>
        <v>0.14948103811141</v>
      </c>
      <c r="F34" s="24" t="n">
        <f aca="false">F15/F$16</f>
        <v>0.182981149148927</v>
      </c>
      <c r="G34" s="6"/>
      <c r="H34" s="25" t="s">
        <v>18</v>
      </c>
      <c r="I34" s="24" t="n">
        <f aca="false">I15/I$11</f>
        <v>0.496964887919064</v>
      </c>
      <c r="J34" s="24" t="n">
        <f aca="false">J15/J$11</f>
        <v>0.614457599383964</v>
      </c>
      <c r="K34" s="24" t="n">
        <f aca="false">K15/K$11</f>
        <v>0.806020133758535</v>
      </c>
      <c r="L34" s="24" t="n">
        <f aca="false">L15/L$11</f>
        <v>0.61036669639969</v>
      </c>
      <c r="M34" s="24" t="n">
        <f aca="false">M15/M$11</f>
        <v>0.595568800666986</v>
      </c>
      <c r="N34" s="6"/>
      <c r="O34" s="25" t="s">
        <v>19</v>
      </c>
      <c r="P34" s="26" t="n">
        <f aca="false">P15/I$11</f>
        <v>-0.0256695100178536</v>
      </c>
      <c r="Q34" s="26" t="n">
        <f aca="false">Q15/J$11</f>
        <v>-0.00953893541245548</v>
      </c>
      <c r="R34" s="26" t="n">
        <f aca="false">R15/K$11</f>
        <v>0.0106566964241085</v>
      </c>
      <c r="S34" s="26" t="n">
        <f aca="false">S15/L$11</f>
        <v>-0.0151540399337378</v>
      </c>
      <c r="T34" s="26" t="n">
        <f aca="false">T15/M$11</f>
        <v>2.66084827843116E-005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0.139287839714342</v>
      </c>
      <c r="J35" s="24" t="n">
        <f aca="false">J16/J$11</f>
        <v>0.134526903455578</v>
      </c>
      <c r="K35" s="24" t="n">
        <f aca="false">K16/K$11</f>
        <v>0.123731643190611</v>
      </c>
      <c r="L35" s="24" t="n">
        <f aca="false">L16/L$11</f>
        <v>0.123369176329899</v>
      </c>
      <c r="M35" s="24" t="n">
        <f aca="false">M16/M$11</f>
        <v>0.110868678267965</v>
      </c>
      <c r="N35" s="6"/>
      <c r="O35" s="25" t="s">
        <v>22</v>
      </c>
      <c r="P35" s="26" t="n">
        <f aca="false">P16/I$11</f>
        <v>-0.0346855782582821</v>
      </c>
      <c r="Q35" s="26" t="n">
        <f aca="false">Q16/J$11</f>
        <v>-0.0458754451824045</v>
      </c>
      <c r="R35" s="26" t="n">
        <f aca="false">R16/K$11</f>
        <v>0.0559626515780108</v>
      </c>
      <c r="S35" s="26" t="n">
        <f aca="false">S16/L$11</f>
        <v>0.0316509669767396</v>
      </c>
      <c r="T35" s="26" t="n">
        <f aca="false">T16/M$11</f>
        <v>0.00611108154613024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0.0793469396736074</v>
      </c>
      <c r="C36" s="24" t="n">
        <f aca="false">C17/C$16</f>
        <v>0.075291832729774</v>
      </c>
      <c r="D36" s="24" t="n">
        <f aca="false">D17/D$16</f>
        <v>0.0604852713667793</v>
      </c>
      <c r="E36" s="24" t="n">
        <f aca="false">E17/E$16</f>
        <v>0.0589480662845206</v>
      </c>
      <c r="F36" s="24" t="n">
        <f aca="false">F17/F$16</f>
        <v>0.0618185738296416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-0.128327712755406</v>
      </c>
      <c r="Q36" s="26" t="n">
        <f aca="false">Q17/J$11</f>
        <v>-0.228443546058331</v>
      </c>
      <c r="R36" s="26" t="n">
        <f aca="false">R17/K$11</f>
        <v>-0.297797682718357</v>
      </c>
      <c r="S36" s="26" t="n">
        <f aca="false">S17/L$11</f>
        <v>-0.153785079249944</v>
      </c>
      <c r="T36" s="26" t="n">
        <f aca="false">T17/M$11</f>
        <v>-0.116864456388697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0.128429604998068</v>
      </c>
      <c r="C37" s="24" t="n">
        <f aca="false">C18/C$16</f>
        <v>0.126415666916183</v>
      </c>
      <c r="D37" s="24" t="n">
        <f aca="false">D18/D$16</f>
        <v>0.112605110556836</v>
      </c>
      <c r="E37" s="24" t="n">
        <f aca="false">E18/E$16</f>
        <v>0.00150888286378149</v>
      </c>
      <c r="F37" s="24" t="n">
        <f aca="false">F18/F$16</f>
        <v>0</v>
      </c>
      <c r="G37" s="6"/>
      <c r="H37" s="25" t="s">
        <v>26</v>
      </c>
      <c r="I37" s="24" t="n">
        <f aca="false">I18/I$11</f>
        <v>0.108202737552073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0.0455448530324801</v>
      </c>
      <c r="N37" s="6"/>
      <c r="O37" s="25" t="s">
        <v>27</v>
      </c>
      <c r="P37" s="26" t="n">
        <f aca="false">P18/I$11</f>
        <v>-0.566683197778219</v>
      </c>
      <c r="Q37" s="26" t="n">
        <f aca="false">Q18/J$11</f>
        <v>-0.559254981230147</v>
      </c>
      <c r="R37" s="26" t="n">
        <f aca="false">R18/K$11</f>
        <v>-1.31881116853775</v>
      </c>
      <c r="S37" s="26" t="n">
        <f aca="false">S18/L$11</f>
        <v>-0.767709936384399</v>
      </c>
      <c r="T37" s="26" t="n">
        <f aca="false">T18/M$11</f>
        <v>-0.0292693310627428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0.0189737898484655</v>
      </c>
      <c r="C38" s="24" t="n">
        <f aca="false">C19/C$16</f>
        <v>0.0169414716057375</v>
      </c>
      <c r="D38" s="24" t="n">
        <f aca="false">D19/D$16</f>
        <v>0.015474536671613</v>
      </c>
      <c r="E38" s="24" t="n">
        <f aca="false">E19/E$16</f>
        <v>0.0159675769999343</v>
      </c>
      <c r="F38" s="24" t="n">
        <f aca="false">F19/F$16</f>
        <v>0.0164073129737826</v>
      </c>
      <c r="G38" s="6"/>
      <c r="H38" s="25" t="s">
        <v>29</v>
      </c>
      <c r="I38" s="24" t="n">
        <f aca="false">I19/I$11</f>
        <v>0.247490577266415</v>
      </c>
      <c r="J38" s="24" t="n">
        <f aca="false">J19/J$11</f>
        <v>0.134526903455578</v>
      </c>
      <c r="K38" s="24" t="n">
        <f aca="false">K19/K$11</f>
        <v>0.123731643190611</v>
      </c>
      <c r="L38" s="24" t="n">
        <f aca="false">L19/L$11</f>
        <v>0.123369176329899</v>
      </c>
      <c r="M38" s="24" t="n">
        <f aca="false">M19/M$11</f>
        <v>0.156413531300445</v>
      </c>
      <c r="N38" s="6"/>
      <c r="O38" s="25" t="s">
        <v>30</v>
      </c>
      <c r="P38" s="26" t="n">
        <f aca="false">P19/I$11</f>
        <v>0.303134298750248</v>
      </c>
      <c r="Q38" s="26" t="n">
        <f aca="false">Q19/J$11</f>
        <v>0.262556550197324</v>
      </c>
      <c r="R38" s="26" t="n">
        <f aca="false">R19/K$11</f>
        <v>0.965740620407674</v>
      </c>
      <c r="S38" s="26" t="n">
        <f aca="false">S19/L$11</f>
        <v>0.832982091571178</v>
      </c>
      <c r="T38" s="26" t="n">
        <f aca="false">T19/M$11</f>
        <v>0.21316055558512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0.773249665479859</v>
      </c>
      <c r="C39" s="24" t="n">
        <f aca="false">C20/C$16</f>
        <v>0.781351028748306</v>
      </c>
      <c r="D39" s="24" t="n">
        <f aca="false">D20/D$16</f>
        <v>0.811435081404772</v>
      </c>
      <c r="E39" s="24" t="n">
        <f aca="false">E20/E$16</f>
        <v>0.923575473851764</v>
      </c>
      <c r="F39" s="24" t="n">
        <f aca="false">F20/F$16</f>
        <v>0.921774113196576</v>
      </c>
      <c r="G39" s="6"/>
      <c r="H39" s="25" t="s">
        <v>32</v>
      </c>
      <c r="I39" s="24" t="n">
        <f aca="false">I20/I$11</f>
        <v>0.249474310652648</v>
      </c>
      <c r="J39" s="24" t="n">
        <f aca="false">J20/J$11</f>
        <v>0.479930695928386</v>
      </c>
      <c r="K39" s="24" t="n">
        <f aca="false">K20/K$11</f>
        <v>0.682288490567924</v>
      </c>
      <c r="L39" s="24" t="n">
        <f aca="false">L20/L$11</f>
        <v>0.486997520069791</v>
      </c>
      <c r="M39" s="24" t="n">
        <f aca="false">M20/M$11</f>
        <v>0.439155269366541</v>
      </c>
      <c r="N39" s="6"/>
      <c r="O39" s="25" t="s">
        <v>33</v>
      </c>
      <c r="P39" s="26" t="n">
        <f aca="false">P20/I$11</f>
        <v>-0.0419956357865503</v>
      </c>
      <c r="Q39" s="26" t="n">
        <f aca="false">Q20/J$11</f>
        <v>0.300192511310039</v>
      </c>
      <c r="R39" s="26" t="n">
        <f aca="false">R20/K$11</f>
        <v>0.854125221181434</v>
      </c>
      <c r="S39" s="26" t="n">
        <f aca="false">S20/L$11</f>
        <v>-0.0218586733843696</v>
      </c>
      <c r="T39" s="26" t="n">
        <f aca="false">T20/M$11</f>
        <v>-0.0780515495006475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0.0307081928188851</v>
      </c>
      <c r="J40" s="24" t="n">
        <f aca="false">J21/J$11</f>
        <v>0.0457503128308788</v>
      </c>
      <c r="K40" s="24" t="n">
        <f aca="false">K21/K$11</f>
        <v>0.0673791124751327</v>
      </c>
      <c r="L40" s="24" t="n">
        <f aca="false">L21/L$11</f>
        <v>0.0466383712837805</v>
      </c>
      <c r="M40" s="24" t="n">
        <f aca="false">M21/M$11</f>
        <v>0.0519308889007149</v>
      </c>
      <c r="N40" s="6"/>
      <c r="O40" s="25" t="s">
        <v>36</v>
      </c>
      <c r="P40" s="26" t="n">
        <f aca="false">P21/I$11</f>
        <v>-0.387502479666733</v>
      </c>
      <c r="Q40" s="26" t="n">
        <f aca="false">Q21/J$11</f>
        <v>-0.793570122244682</v>
      </c>
      <c r="R40" s="26" t="n">
        <f aca="false">R21/K$11</f>
        <v>-0.390618908138477</v>
      </c>
      <c r="S40" s="26" t="n">
        <f aca="false">S21/L$11</f>
        <v>-0.38503612072261</v>
      </c>
      <c r="T40" s="26" t="n">
        <f aca="false">T21/M$11</f>
        <v>-0.609298777783691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0.218766117833763</v>
      </c>
      <c r="J41" s="24" t="n">
        <f aca="false">J22/J$11</f>
        <v>0.434180383097507</v>
      </c>
      <c r="K41" s="24" t="n">
        <f aca="false">K22/K$11</f>
        <v>0.614909378092791</v>
      </c>
      <c r="L41" s="24" t="n">
        <f aca="false">L22/L$11</f>
        <v>0.44035914878601</v>
      </c>
      <c r="M41" s="24" t="n">
        <f aca="false">M22/M$11</f>
        <v>0.387224380465826</v>
      </c>
      <c r="N41" s="6"/>
      <c r="O41" s="25" t="s">
        <v>38</v>
      </c>
      <c r="P41" s="26" t="n">
        <f aca="false">P22/I$11</f>
        <v>0.817139456457052</v>
      </c>
      <c r="Q41" s="26" t="n">
        <f aca="false">Q22/J$11</f>
        <v>1.40539994224661</v>
      </c>
      <c r="R41" s="26" t="n">
        <f aca="false">R22/K$11</f>
        <v>0.839909628015315</v>
      </c>
      <c r="S41" s="26" t="n">
        <f aca="false">S22/L$11</f>
        <v>0.738979993922701</v>
      </c>
      <c r="T41" s="26" t="n">
        <f aca="false">T22/M$11</f>
        <v>0.819683181664981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1.89798651061297</v>
      </c>
      <c r="J42" s="24" t="n">
        <f aca="false">J23/J$11</f>
        <v>2.24621233997497</v>
      </c>
      <c r="K42" s="24" t="n">
        <f aca="false">K23/K$11</f>
        <v>2.17032719856844</v>
      </c>
      <c r="L42" s="24" t="n">
        <f aca="false">L23/L$11</f>
        <v>2.11497858242092</v>
      </c>
      <c r="M42" s="24" t="n">
        <f aca="false">M23/M$11</f>
        <v>2.17812605325244</v>
      </c>
      <c r="N42" s="6"/>
      <c r="O42" s="25" t="s">
        <v>40</v>
      </c>
      <c r="P42" s="26" t="n">
        <f aca="false">P23/I$11</f>
        <v>0.218895060503868</v>
      </c>
      <c r="Q42" s="26" t="n">
        <f aca="false">Q23/J$11</f>
        <v>0.792992588314563</v>
      </c>
      <c r="R42" s="26" t="n">
        <f aca="false">R23/K$11</f>
        <v>1.45961751856924</v>
      </c>
      <c r="S42" s="26" t="n">
        <f aca="false">S23/L$11</f>
        <v>0.823542673423578</v>
      </c>
      <c r="T42" s="26" t="n">
        <f aca="false">T23/M$11</f>
        <v>0.668671172369751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0.0218706605832176</v>
      </c>
      <c r="J43" s="24" t="n">
        <f aca="false">J24/J$11</f>
        <v>0.0434209259794013</v>
      </c>
      <c r="K43" s="24" t="n">
        <f aca="false">K24/K$11</f>
        <v>0.0614909378092791</v>
      </c>
      <c r="L43" s="24" t="n">
        <f aca="false">L24/L$11</f>
        <v>0.0440408159264451</v>
      </c>
      <c r="M43" s="24" t="n">
        <f aca="false">M24/M$11</f>
        <v>0.0387153424511734</v>
      </c>
      <c r="N43" s="6"/>
      <c r="O43" s="2" t="s">
        <v>49</v>
      </c>
      <c r="P43" s="26" t="n">
        <f aca="false">P24/I11</f>
        <v>0.0948026185280698</v>
      </c>
      <c r="Q43" s="26" t="n">
        <f aca="false">Q24/J11</f>
        <v>0.177668688035422</v>
      </c>
      <c r="R43" s="26" t="n">
        <f aca="false">R24/K11</f>
        <v>0.509272125641051</v>
      </c>
      <c r="S43" s="26" t="n">
        <f aca="false">S24/L11</f>
        <v>0.426185318421078</v>
      </c>
      <c r="T43" s="26" t="n">
        <f aca="false">T24/M11</f>
        <v>0.352447093466731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0.371950009918667</v>
      </c>
      <c r="J44" s="24" t="n">
        <f aca="false">J25/J$11</f>
        <v>0.779670805659833</v>
      </c>
      <c r="K44" s="24" t="n">
        <f aca="false">K25/K$11</f>
        <v>0.374883786026332</v>
      </c>
      <c r="L44" s="24" t="n">
        <f aca="false">L25/L$11</f>
        <v>0.367578588302179</v>
      </c>
      <c r="M44" s="24" t="n">
        <f aca="false">M25/M$11</f>
        <v>0.598690862647012</v>
      </c>
      <c r="N44" s="6"/>
      <c r="O44" s="2" t="s">
        <v>50</v>
      </c>
      <c r="P44" s="26" t="n">
        <f aca="false">P24/B16</f>
        <v>0.0131442692883694</v>
      </c>
      <c r="Q44" s="26" t="n">
        <f aca="false">Q24/C16</f>
        <v>0.0248949671919993</v>
      </c>
      <c r="R44" s="26" t="n">
        <f aca="false">R24/D16</f>
        <v>0.0670168597859376</v>
      </c>
      <c r="S44" s="26" t="n">
        <f aca="false">S24/E16</f>
        <v>0.0679841637661716</v>
      </c>
      <c r="T44" s="26" t="n">
        <f aca="false">T24/F16</f>
        <v>0.0649056640755798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0.0158698670898631</v>
      </c>
      <c r="J45" s="24" t="n">
        <f aca="false">J26/J$11</f>
        <v>0.0154009048031572</v>
      </c>
      <c r="K45" s="24" t="n">
        <f aca="false">K26/K$11</f>
        <v>0.0159950415371235</v>
      </c>
      <c r="L45" s="24" t="n">
        <f aca="false">L26/L$11</f>
        <v>0.015683353100893</v>
      </c>
      <c r="M45" s="24" t="n">
        <f aca="false">M26/M$11</f>
        <v>0.0141911908182995</v>
      </c>
      <c r="N45" s="6"/>
      <c r="O45" s="2" t="s">
        <v>51</v>
      </c>
      <c r="P45" s="26" t="n">
        <f aca="false">P24/B20</f>
        <v>0.0169987390556612</v>
      </c>
      <c r="Q45" s="26" t="n">
        <f aca="false">Q24/C20</f>
        <v>0.0318614377866502</v>
      </c>
      <c r="R45" s="26" t="n">
        <f aca="false">R24/D20</f>
        <v>0.0825905378282594</v>
      </c>
      <c r="S45" s="26" t="n">
        <f aca="false">S24/E20</f>
        <v>0.0736097543632728</v>
      </c>
      <c r="T45" s="26" t="n">
        <f aca="false">T24/F20</f>
        <v>0.0704138499295631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1.70706209085499</v>
      </c>
      <c r="J46" s="24" t="n">
        <f aca="false">J27/J$11</f>
        <v>1.84190008663009</v>
      </c>
      <c r="K46" s="24" t="n">
        <f aca="false">K27/K$11</f>
        <v>2.3328668112885</v>
      </c>
      <c r="L46" s="24" t="n">
        <f aca="false">L27/L$11</f>
        <v>2.12803497387742</v>
      </c>
      <c r="M46" s="24" t="n">
        <f aca="false">M27/M$11</f>
        <v>1.91375303780178</v>
      </c>
      <c r="N46" s="6"/>
      <c r="O46" s="2" t="s">
        <v>52</v>
      </c>
      <c r="P46" s="26" t="n">
        <f aca="false">P24/I22</f>
        <v>0.433351468988031</v>
      </c>
      <c r="Q46" s="26" t="n">
        <f aca="false">Q24/J22</f>
        <v>0.409204779745938</v>
      </c>
      <c r="R46" s="26" t="n">
        <f aca="false">R24/K22</f>
        <v>0.828206795642985</v>
      </c>
      <c r="S46" s="26" t="n">
        <f aca="false">S24/L22</f>
        <v>0.967813021702838</v>
      </c>
      <c r="T46" s="26" t="n">
        <f aca="false">T24/M22</f>
        <v>0.910188281643685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0.0579680260061619</v>
      </c>
      <c r="Q47" s="26" t="n">
        <f aca="false">Q24/(C22-C20)</f>
        <v>0.113858149203647</v>
      </c>
      <c r="R47" s="26" t="n">
        <f aca="false">R24/(D22-D20)</f>
        <v>0.355404707753701</v>
      </c>
      <c r="S47" s="26" t="n">
        <f aca="false">S24/(E22-E20)</f>
        <v>0.889559506516357</v>
      </c>
      <c r="T47" s="26" t="n">
        <f aca="false">T24/(F22-F20)</f>
        <v>0.829721039004427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0.25488</v>
      </c>
      <c r="Q48" s="26" t="n">
        <f aca="false">Q24/J25</f>
        <v>0.227876543209877</v>
      </c>
      <c r="R48" s="26" t="n">
        <f aca="false">R24/K25</f>
        <v>1.35848</v>
      </c>
      <c r="S48" s="26" t="n">
        <f aca="false">S24/L25</f>
        <v>1.15944</v>
      </c>
      <c r="T48" s="26" t="n">
        <f aca="false">T24/M25</f>
        <v>0.588696296296296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0.167293858190538</v>
      </c>
      <c r="Q49" s="26" t="n">
        <f aca="false">Q24/(Q18*-1)</f>
        <v>0.31768816371491</v>
      </c>
      <c r="R49" s="26" t="n">
        <f aca="false">R24/(R18*-1)</f>
        <v>0.386160003638514</v>
      </c>
      <c r="S49" s="26" t="n">
        <f aca="false">S24/(S18*-1)</f>
        <v>0.555138468609951</v>
      </c>
      <c r="T49" s="26" t="n">
        <f aca="false">T24/(T18*-1)</f>
        <v>12.0415151515152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-0.228277328970295</v>
      </c>
      <c r="J50" s="28" t="n">
        <f aca="false">LN(J13/K13)</f>
        <v>-0.0678073118514646</v>
      </c>
      <c r="K50" s="28" t="n">
        <f aca="false">LN(K13/L13)</f>
        <v>-0.0125535981162614</v>
      </c>
      <c r="L50" s="28" t="n">
        <f aca="false">LN(L13/M13)</f>
        <v>-0.117561948083891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B23/B17</f>
        <v>1.30796561405941</v>
      </c>
      <c r="C51" s="30" t="n">
        <f aca="false">C23/C17</f>
        <v>2.11509386643737</v>
      </c>
      <c r="D51" s="30" t="n">
        <f aca="false">D23/D17</f>
        <v>3.76973770063944</v>
      </c>
      <c r="E51" s="30" t="n">
        <f aca="false">E23/E17</f>
        <v>3.09196286472149</v>
      </c>
      <c r="F51" s="30" t="n">
        <f aca="false">F23/F17</f>
        <v>2.8528020714984</v>
      </c>
      <c r="H51" s="29" t="s">
        <v>58</v>
      </c>
      <c r="I51" s="63" t="n">
        <f aca="false">I13/I11</f>
        <v>0.270948224558619</v>
      </c>
      <c r="J51" s="63" t="n">
        <f aca="false">J13/J11</f>
        <v>0.330368659158726</v>
      </c>
      <c r="K51" s="63" t="n">
        <f aca="false">K13/K11</f>
        <v>0.367186172286591</v>
      </c>
      <c r="L51" s="63" t="n">
        <f aca="false">L13/L11</f>
        <v>0.364579147021633</v>
      </c>
      <c r="M51" s="63" t="n">
        <f aca="false">M13/M11</f>
        <v>0.371046422932964</v>
      </c>
      <c r="O51" s="2" t="s">
        <v>59</v>
      </c>
      <c r="P51" s="32" t="n">
        <f aca="false">(P11-P24-P25)/B16</f>
        <v>0.0537281289838151</v>
      </c>
      <c r="Q51" s="32" t="n">
        <f aca="false">(Q11-Q24-Q25)/C16</f>
        <v>0.0775158982243892</v>
      </c>
      <c r="R51" s="32" t="n">
        <f aca="false">(R11-R24-R25)/D16</f>
        <v>0.0603629274145171</v>
      </c>
      <c r="S51" s="32" t="n">
        <f aca="false">(S11-S24-S25)/E16</f>
        <v>-0.00815109468279061</v>
      </c>
      <c r="T51" s="32" t="n">
        <f aca="false">(T11-T24-T25)/F16</f>
        <v>-0.0274604027591073</v>
      </c>
    </row>
    <row r="52" customFormat="false" ht="15" hidden="false" customHeight="false" outlineLevel="0" collapsed="false">
      <c r="A52" s="29" t="s">
        <v>60</v>
      </c>
      <c r="B52" s="49" t="n">
        <f aca="false">I20/B16</f>
        <v>0.03458931378333</v>
      </c>
      <c r="C52" s="49" t="n">
        <f aca="false">J20/C16</f>
        <v>0.0672479718383945</v>
      </c>
      <c r="D52" s="49" t="n">
        <f aca="false">K20/D16</f>
        <v>0.0897846746440186</v>
      </c>
      <c r="E52" s="49" t="n">
        <f aca="false">L20/E16</f>
        <v>0.0776847951515606</v>
      </c>
      <c r="F52" s="49" t="n">
        <f aca="false">M20/F16</f>
        <v>0.080873597538168</v>
      </c>
      <c r="G52" s="31"/>
      <c r="H52" s="29" t="s">
        <v>61</v>
      </c>
      <c r="I52" s="63" t="n">
        <f aca="false">I16/I11</f>
        <v>0.139287839714342</v>
      </c>
      <c r="J52" s="63" t="n">
        <f aca="false">J16/J11</f>
        <v>0.134526903455578</v>
      </c>
      <c r="K52" s="63" t="n">
        <f aca="false">K16/K11</f>
        <v>0.123731643190611</v>
      </c>
      <c r="L52" s="63" t="n">
        <f aca="false">L16/L11</f>
        <v>0.123369176329899</v>
      </c>
      <c r="M52" s="63" t="n">
        <f aca="false">M16/M11</f>
        <v>0.110868678267965</v>
      </c>
      <c r="O52" s="6"/>
    </row>
    <row r="53" customFormat="false" ht="15" hidden="false" customHeight="false" outlineLevel="0" collapsed="false">
      <c r="A53" s="29" t="s">
        <v>62</v>
      </c>
      <c r="B53" s="49" t="n">
        <f aca="false">I20/B20</f>
        <v>0.0447324005783626</v>
      </c>
      <c r="C53" s="49" t="n">
        <f aca="false">J20/C20</f>
        <v>0.0860662741381721</v>
      </c>
      <c r="D53" s="49" t="n">
        <f aca="false">K20/D20</f>
        <v>0.110649239479</v>
      </c>
      <c r="E53" s="49" t="n">
        <f aca="false">L20/E20</f>
        <v>0.0841130988760202</v>
      </c>
      <c r="F53" s="49" t="n">
        <f aca="false">M20/F20</f>
        <v>0.087736893866232</v>
      </c>
      <c r="H53" s="29" t="s">
        <v>11</v>
      </c>
      <c r="I53" s="71"/>
      <c r="J53" s="71"/>
      <c r="K53" s="71"/>
      <c r="L53" s="71"/>
      <c r="M53" s="71"/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3.51914551991343</v>
      </c>
      <c r="C54" s="30" t="n">
        <f aca="false">J11/C12</f>
        <v>6.83172223318209</v>
      </c>
      <c r="D54" s="30" t="n">
        <f aca="false">K11/D12</f>
        <v>7.38999704491726</v>
      </c>
      <c r="E54" s="30" t="n">
        <f aca="false">L11/E12</f>
        <v>6.73526110781013</v>
      </c>
      <c r="F54" s="30" t="n">
        <f aca="false">M11/F12</f>
        <v>9.34953147027117</v>
      </c>
      <c r="H54" s="29" t="s">
        <v>64</v>
      </c>
      <c r="I54" s="63" t="n">
        <f aca="false">I25/I22</f>
        <v>1.70021762785637</v>
      </c>
      <c r="J54" s="63" t="n">
        <f aca="false">J25/J22</f>
        <v>1.79573015274791</v>
      </c>
      <c r="K54" s="63" t="n">
        <f aca="false">K25/K22</f>
        <v>0.609656966346935</v>
      </c>
      <c r="L54" s="63" t="n">
        <f aca="false">L25/L22</f>
        <v>0.834724540901502</v>
      </c>
      <c r="M54" s="63" t="n">
        <f aca="false">M25/M22</f>
        <v>1.54610838792432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0.226750334520141</v>
      </c>
      <c r="C55" s="31" t="n">
        <f aca="false">(C22-C20)/C16</f>
        <v>0.218648971251694</v>
      </c>
      <c r="D55" s="31" t="n">
        <f aca="false">(D22-D20)/D16</f>
        <v>0.188564918595228</v>
      </c>
      <c r="E55" s="31" t="n">
        <f aca="false">(E22-E20)/E16</f>
        <v>0.0764245261482364</v>
      </c>
      <c r="F55" s="31" t="n">
        <f aca="false">(F22-F20)/F16</f>
        <v>0.0782258868034242</v>
      </c>
      <c r="H55" s="29" t="s">
        <v>66</v>
      </c>
      <c r="I55" s="63" t="n">
        <f aca="false">I22/I11</f>
        <v>0.218766117833763</v>
      </c>
      <c r="J55" s="63" t="n">
        <f aca="false">J22/J11</f>
        <v>0.434180383097507</v>
      </c>
      <c r="K55" s="63" t="n">
        <f aca="false">K22/K11</f>
        <v>0.614909378092791</v>
      </c>
      <c r="L55" s="63" t="n">
        <f aca="false">L22/L11</f>
        <v>0.440359148786011</v>
      </c>
      <c r="M55" s="63" t="n">
        <f aca="false">M22/M11</f>
        <v>0.387224380465826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0.293243365814358</v>
      </c>
      <c r="C56" s="31" t="n">
        <f aca="false">(C22-C20)/C20</f>
        <v>0.279834495901236</v>
      </c>
      <c r="D56" s="31" t="n">
        <f aca="false">(D22-D20)/D20</f>
        <v>0.232384478951515</v>
      </c>
      <c r="E56" s="31" t="n">
        <f aca="false">(E22-E20)/E20</f>
        <v>0.0827485444470592</v>
      </c>
      <c r="F56" s="31" t="n">
        <f aca="false">(F22-F20)/F20</f>
        <v>0.0848644865195318</v>
      </c>
      <c r="H56" s="33" t="s">
        <v>68</v>
      </c>
      <c r="I56" s="34" t="n">
        <f aca="false">I13/B16</f>
        <v>0.0375666461760188</v>
      </c>
      <c r="J56" s="34" t="n">
        <f aca="false">J13/C16</f>
        <v>0.0462913134664536</v>
      </c>
      <c r="K56" s="34" t="n">
        <f aca="false">K13/D16</f>
        <v>0.0483192835117187</v>
      </c>
      <c r="L56" s="34" t="n">
        <f aca="false">L13/E16</f>
        <v>0.0581568800367761</v>
      </c>
      <c r="M56" s="34" t="n">
        <f aca="false">M13/F16</f>
        <v>0.0683308642055969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0.138648799921888</v>
      </c>
      <c r="C57" s="30" t="n">
        <f aca="false">J11/C16</f>
        <v>0.140120172368448</v>
      </c>
      <c r="D57" s="30" t="n">
        <f aca="false">K11/D16</f>
        <v>0.131593418158474</v>
      </c>
      <c r="E57" s="30" t="n">
        <f aca="false">L11/E16</f>
        <v>0.159517845471631</v>
      </c>
      <c r="F57" s="30" t="n">
        <f aca="false">M11/F16</f>
        <v>0.184157183528332</v>
      </c>
      <c r="H57" s="33" t="s">
        <v>70</v>
      </c>
      <c r="I57" s="35" t="n">
        <f aca="false">I25/$C$5</f>
        <v>54.6408276264025</v>
      </c>
      <c r="J57" s="35" t="n">
        <f aca="false">J25/$C$5</f>
        <v>118.024187673029</v>
      </c>
      <c r="K57" s="35" t="n">
        <f aca="false">K25/$C$5</f>
        <v>54.6408276264025</v>
      </c>
      <c r="L57" s="35" t="n">
        <f aca="false">L25/$C$5</f>
        <v>54.6408276264025</v>
      </c>
      <c r="M57" s="35" t="n">
        <f aca="false">M25/$C$5</f>
        <v>98.3534897275244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1.29324336581436</v>
      </c>
      <c r="C58" s="30" t="n">
        <f aca="false">C16/C20</f>
        <v>1.27983449590124</v>
      </c>
      <c r="D58" s="30" t="n">
        <f aca="false">D16/D20</f>
        <v>1.23238447895152</v>
      </c>
      <c r="E58" s="30" t="n">
        <f aca="false">E16/E20</f>
        <v>1.08274854444706</v>
      </c>
      <c r="F58" s="30" t="n">
        <f aca="false">F16/F20</f>
        <v>1.08486448651953</v>
      </c>
      <c r="H58" s="36" t="s">
        <v>72</v>
      </c>
      <c r="I58" s="37" t="n">
        <f aca="false">I22/$C$7/1000</f>
        <v>0.669742372069824</v>
      </c>
      <c r="J58" s="37" t="n">
        <f aca="false">J22/$C$7/1000</f>
        <v>1.36969845742444</v>
      </c>
      <c r="K58" s="37" t="n">
        <f aca="false">K22/$C$7/1000</f>
        <v>1.86778442627924</v>
      </c>
      <c r="L58" s="37" t="n">
        <f aca="false">L22/$C$7/1000</f>
        <v>1.36417192896431</v>
      </c>
      <c r="M58" s="37" t="n">
        <f aca="false">M22/$C$7/1000</f>
        <v>1.3256987885303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17.0738452910911</v>
      </c>
      <c r="J59" s="37" t="n">
        <f aca="false">C20/$C$7/1000</f>
        <v>17.5913955717203</v>
      </c>
      <c r="K59" s="37" t="n">
        <f aca="false">D20/$C$7/1000</f>
        <v>18.7298908000488</v>
      </c>
      <c r="L59" s="37" t="n">
        <f aca="false">E20/$C$7/1000</f>
        <v>17.9359837308719</v>
      </c>
      <c r="M59" s="37" t="n">
        <f aca="false">F20/$C$7/1000</f>
        <v>17.136337574448</v>
      </c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16.0402383718632</v>
      </c>
      <c r="J60" s="38" t="n">
        <f aca="false">SQRT(22.5*J58*J59)</f>
        <v>23.2838015800017</v>
      </c>
      <c r="K60" s="38" t="n">
        <f aca="false">SQRT(22.5*K58*K59)</f>
        <v>28.0557741418847</v>
      </c>
      <c r="L60" s="38" t="n">
        <f aca="false">SQRT(22.5*L58*L59)</f>
        <v>23.4632632915876</v>
      </c>
      <c r="M60" s="38" t="n">
        <f aca="false">SQRT(22.5*M58*M59)</f>
        <v>22.6085491385796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-0.696165251217461</v>
      </c>
      <c r="J61" s="39" t="n">
        <f aca="false">J58-(C20*0.08/1000/$C$7)</f>
        <v>-0.0376131883131776</v>
      </c>
      <c r="K61" s="39" t="n">
        <f aca="false">K58-(D20*0.08/1000/$C$7)</f>
        <v>0.369393162275334</v>
      </c>
      <c r="L61" s="39" t="n">
        <f aca="false">L58-(E20*0.08/1000/$C$7)</f>
        <v>-0.070706769505442</v>
      </c>
      <c r="M61" s="39" t="n">
        <f aca="false">M58-(F20*0.08/1000/$C$7)</f>
        <v>-0.0452082174255333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I25/$C$7/1000</f>
        <v>1.13870778711545</v>
      </c>
      <c r="J62" s="41" t="n">
        <f aca="false">J25/$C$7/1000</f>
        <v>2.45960882016938</v>
      </c>
      <c r="K62" s="41" t="n">
        <f aca="false">K25/$C$7/1000</f>
        <v>1.13870778711545</v>
      </c>
      <c r="L62" s="41" t="n">
        <f aca="false">L25/$C$7/1000</f>
        <v>1.13870778711545</v>
      </c>
      <c r="M62" s="41" t="n">
        <f aca="false">M25/$C$7/1000</f>
        <v>2.04967401680781</v>
      </c>
      <c r="O62" s="6"/>
    </row>
    <row r="63" customFormat="false" ht="15" hidden="false" customHeight="false" outlineLevel="0" collapsed="false">
      <c r="A63" s="2"/>
      <c r="O63" s="6"/>
    </row>
    <row r="64" customFormat="false" ht="15" hidden="false" customHeight="false" outlineLevel="0" collapsed="false">
      <c r="H64" s="2" t="s">
        <v>105</v>
      </c>
      <c r="I64" s="6"/>
      <c r="J64" s="6" t="n">
        <f aca="false">K51/J51</f>
        <v>1.11144372236041</v>
      </c>
      <c r="K64" s="6" t="n">
        <f aca="false">L51/K51</f>
        <v>0.992899990626763</v>
      </c>
      <c r="L64" s="6" t="n">
        <f aca="false">M51/L51</f>
        <v>1.01773901761569</v>
      </c>
      <c r="O64" s="6"/>
    </row>
    <row r="65" customFormat="false" ht="15" hidden="false" customHeight="false" outlineLevel="0" collapsed="false">
      <c r="H65" s="2" t="s">
        <v>106</v>
      </c>
      <c r="I65" s="6"/>
      <c r="J65" s="6" t="n">
        <f aca="false">J11/K11</f>
        <v>1.03857804080735</v>
      </c>
      <c r="K65" s="6" t="n">
        <f aca="false">K11/L11</f>
        <v>0.980513433772141</v>
      </c>
      <c r="L65" s="6" t="n">
        <f aca="false">L11/M11</f>
        <v>0.904856935057563</v>
      </c>
      <c r="O65" s="6"/>
    </row>
    <row r="66" customFormat="false" ht="15" hidden="false" customHeight="false" outlineLevel="0" collapsed="false">
      <c r="H66" s="2" t="s">
        <v>107</v>
      </c>
      <c r="I66" s="6"/>
      <c r="J66" s="6" t="n">
        <f aca="false">(Q13/1948687)/(R13/1747778)</f>
        <v>-2.00485667377056</v>
      </c>
      <c r="K66" s="6" t="n">
        <f aca="false">(R13/K11)/(S13/L11)</f>
        <v>0.558481514812741</v>
      </c>
      <c r="L66" s="6" t="n">
        <f aca="false">(S13/L11)/(T13/M11)</f>
        <v>-1.14060765284337</v>
      </c>
      <c r="O66" s="6"/>
    </row>
    <row r="67" customFormat="false" ht="15" hidden="false" customHeight="false" outlineLevel="0" collapsed="false">
      <c r="H67" s="2" t="s">
        <v>108</v>
      </c>
      <c r="I67" s="6"/>
      <c r="J67" s="6" t="n">
        <f aca="false">J52/K52</f>
        <v>1.08724736847095</v>
      </c>
      <c r="K67" s="6" t="n">
        <f aca="false">K52/L52</f>
        <v>1.00293806663459</v>
      </c>
      <c r="L67" s="6" t="n">
        <f aca="false">L52/M52</f>
        <v>1.11275049235927</v>
      </c>
      <c r="O67" s="6"/>
    </row>
    <row r="68" customFormat="false" ht="15" hidden="false" customHeight="false" outlineLevel="0" collapsed="false">
      <c r="H68" s="2" t="s">
        <v>109</v>
      </c>
      <c r="I68" s="2"/>
      <c r="J68" s="2" t="n">
        <v>0</v>
      </c>
      <c r="K68" s="2" t="n">
        <v>0</v>
      </c>
      <c r="L68" s="2" t="n">
        <v>0</v>
      </c>
      <c r="O68" s="6"/>
    </row>
    <row r="69" customFormat="false" ht="15" hidden="false" customHeight="false" outlineLevel="0" collapsed="false">
      <c r="H69" s="2" t="s">
        <v>110</v>
      </c>
      <c r="I69" s="6"/>
      <c r="J69" s="6" t="n">
        <f aca="false">C58/D58</f>
        <v>1.03850260836625</v>
      </c>
      <c r="K69" s="6" t="n">
        <f aca="false">D58/E58</f>
        <v>1.1382000791152</v>
      </c>
      <c r="L69" s="6" t="n">
        <f aca="false">E58/F58</f>
        <v>0.998049579372571</v>
      </c>
      <c r="O69" s="6"/>
    </row>
    <row r="70" customFormat="false" ht="15" hidden="false" customHeight="false" outlineLevel="0" collapsed="false">
      <c r="H70" s="2" t="s">
        <v>111</v>
      </c>
      <c r="I70" s="6"/>
      <c r="J70" s="6" t="n">
        <f aca="false">((1-C11)/C16)/((1-D11)/D16)</f>
        <v>0.660010475562534</v>
      </c>
      <c r="K70" s="6" t="n">
        <f aca="false">((1-D11)/D16)/((1-E11)/E16)</f>
        <v>1.32555020547385</v>
      </c>
      <c r="L70" s="6" t="n">
        <f aca="false">((1-E11)/E16)/((1-F11)/F16)</f>
        <v>1.01226943721364</v>
      </c>
      <c r="O70" s="6"/>
    </row>
    <row r="71" customFormat="false" ht="15" hidden="false" customHeight="false" outlineLevel="0" collapsed="false">
      <c r="H71" s="2" t="s">
        <v>112</v>
      </c>
      <c r="I71" s="6"/>
      <c r="J71" s="6" t="n">
        <f aca="false">((J13-J16-J17)-Q24)/C16</f>
        <v>0.00254641337406516</v>
      </c>
      <c r="K71" s="6" t="n">
        <f aca="false">((K13-K16-K17)-R24)/D16</f>
        <v>-0.0349798461360359</v>
      </c>
      <c r="L71" s="6" t="n">
        <f aca="false">((L13-L16-L17)-S24)/E16</f>
        <v>-0.0295068689351509</v>
      </c>
      <c r="M71" s="6" t="n">
        <f aca="false">((M13-M16-M17)-T24)/F16</f>
        <v>-0.0169920634013201</v>
      </c>
      <c r="O71" s="6"/>
    </row>
    <row r="72" customFormat="false" ht="15" hidden="false" customHeight="false" outlineLevel="0" collapsed="false">
      <c r="H72" s="2" t="s">
        <v>113</v>
      </c>
      <c r="I72" s="6"/>
      <c r="J72" s="6" t="n">
        <f aca="false">-4.84 + 0.92 *J66  + 0.528 *J64 + 0.404 *J70 + 0.892 *J65 + 0.115 *J68 - 0.172 *J67- 0.327 *J69 + 4.697 *J71</f>
        <v>-5.41920640662999</v>
      </c>
      <c r="K72" s="6" t="n">
        <f aca="false">-4.84 + 0.92 *K66  + 0.528 *K64 + 0.404 *K70 + 0.892 *K65 + 0.115 *K68 - 0.172 *K67- 0.327 *K69 + 4.697 *K71</f>
        <v>-3.10080265601794</v>
      </c>
      <c r="L72" s="6" t="n">
        <f aca="false">-4.84 + 0.92 *L66  + 0.528 *L64 + 0.404 *L70 + 0.892 *L65 + 0.115 *L68 - 0.172 *L67- 0.327 *L69 + 4.697 *L71</f>
        <v>-4.79225266113819</v>
      </c>
      <c r="O72" s="6"/>
    </row>
    <row r="73" customFormat="false" ht="15" hidden="false" customHeight="false" outlineLevel="0" collapsed="false">
      <c r="I73" s="6"/>
      <c r="J73" s="6" t="str">
        <f aca="false">IF(J72&gt;-2.22,"CARE","Good")</f>
        <v>Good</v>
      </c>
      <c r="K73" s="6" t="str">
        <f aca="false">IF(K72&gt;-2.22,"CARE","Good")</f>
        <v>Good</v>
      </c>
      <c r="L73" s="6" t="str">
        <f aca="false">IF(L72&gt;-2.22,"CARE","Good")</f>
        <v>Good</v>
      </c>
      <c r="O73" s="6"/>
    </row>
    <row r="74" customFormat="false" ht="15" hidden="false" customHeight="false" outlineLevel="0" collapsed="false">
      <c r="O74" s="6"/>
    </row>
    <row r="75" customFormat="false" ht="15" hidden="false" customHeight="false" outlineLevel="0" collapsed="false">
      <c r="O75" s="6"/>
    </row>
    <row r="76" customFormat="false" ht="15" hidden="false" customHeight="false" outlineLevel="0" collapsed="false"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0.065088834640941</v>
      </c>
      <c r="K77" s="28" t="n">
        <f aca="false">(K15-K16)/$C$6</f>
        <v>0.0890957273213843</v>
      </c>
      <c r="L77" s="28" t="n">
        <f aca="false">(L15-L16)/$C$6</f>
        <v>0.0648577731942613</v>
      </c>
      <c r="M77" s="28" t="n">
        <f aca="false">(M15-M16)/$C$6</f>
        <v>0.0713392425884104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70" t="n">
        <v>2067.75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2368549</v>
      </c>
      <c r="M6" s="6"/>
    </row>
    <row r="7" customFormat="false" ht="15" hidden="false" customHeight="false" outlineLevel="0" collapsed="false">
      <c r="A7" s="2" t="s">
        <v>2</v>
      </c>
      <c r="B7" s="62" t="n">
        <v>75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167449</v>
      </c>
      <c r="C11" s="56" t="n">
        <v>158784</v>
      </c>
      <c r="D11" s="56" t="n">
        <v>106838</v>
      </c>
      <c r="E11" s="56" t="n">
        <v>71055</v>
      </c>
      <c r="G11" s="25" t="s">
        <v>7</v>
      </c>
      <c r="H11" s="56" t="n">
        <v>1907020</v>
      </c>
      <c r="I11" s="56" t="n">
        <v>1798160</v>
      </c>
      <c r="J11" s="56" t="n">
        <v>1787782</v>
      </c>
      <c r="K11" s="56" t="n">
        <v>1751708</v>
      </c>
      <c r="M11" s="25" t="s">
        <v>8</v>
      </c>
      <c r="N11" s="56" t="n">
        <v>147334</v>
      </c>
      <c r="O11" s="56" t="n">
        <v>158809</v>
      </c>
      <c r="P11" s="56" t="n">
        <v>120260</v>
      </c>
      <c r="Q11" s="56" t="n">
        <v>143513</v>
      </c>
    </row>
    <row r="12" customFormat="false" ht="15" hidden="false" customHeight="false" outlineLevel="0" collapsed="false">
      <c r="A12" s="25" t="s">
        <v>9</v>
      </c>
      <c r="B12" s="56" t="n">
        <v>106588</v>
      </c>
      <c r="C12" s="56" t="n">
        <v>104153</v>
      </c>
      <c r="D12" s="56" t="n">
        <v>155506</v>
      </c>
      <c r="E12" s="56" t="n">
        <v>153279</v>
      </c>
      <c r="G12" s="25" t="s">
        <v>10</v>
      </c>
      <c r="H12" s="56" t="n">
        <v>1712815</v>
      </c>
      <c r="I12" s="58" t="n">
        <v>1611139</v>
      </c>
      <c r="J12" s="56" t="n">
        <v>1606021</v>
      </c>
      <c r="K12" s="56" t="n">
        <v>1565365</v>
      </c>
      <c r="M12" s="25" t="s">
        <v>11</v>
      </c>
      <c r="N12" s="56" t="n">
        <v>85331</v>
      </c>
      <c r="O12" s="56" t="n">
        <v>82798</v>
      </c>
      <c r="P12" s="56" t="n">
        <v>76960</v>
      </c>
      <c r="Q12" s="56" t="n">
        <v>65641</v>
      </c>
    </row>
    <row r="13" customFormat="false" ht="15" hidden="false" customHeight="false" outlineLevel="0" collapsed="false">
      <c r="A13" s="25" t="s">
        <v>12</v>
      </c>
      <c r="B13" s="56" t="n">
        <v>399499</v>
      </c>
      <c r="C13" s="56" t="n">
        <v>400747</v>
      </c>
      <c r="D13" s="56" t="n">
        <v>377998</v>
      </c>
      <c r="E13" s="56" t="n">
        <v>594805</v>
      </c>
      <c r="G13" s="25" t="s">
        <v>13</v>
      </c>
      <c r="H13" s="56" t="n">
        <v>194205</v>
      </c>
      <c r="I13" s="56" t="n">
        <v>187021</v>
      </c>
      <c r="J13" s="56" t="n">
        <v>181761</v>
      </c>
      <c r="K13" s="56" t="n">
        <v>186343</v>
      </c>
      <c r="M13" s="25" t="s">
        <v>14</v>
      </c>
      <c r="N13" s="58" t="n">
        <v>-3912</v>
      </c>
      <c r="O13" s="58" t="n">
        <v>-28346</v>
      </c>
      <c r="P13" s="58" t="n">
        <v>-23205</v>
      </c>
      <c r="Q13" s="58" t="n">
        <v>-12269</v>
      </c>
    </row>
    <row r="14" customFormat="false" ht="15" hidden="false" customHeight="false" outlineLevel="0" collapsed="false">
      <c r="A14" s="25" t="s">
        <v>15</v>
      </c>
      <c r="B14" s="56" t="n">
        <v>598263</v>
      </c>
      <c r="C14" s="56" t="n">
        <v>573481</v>
      </c>
      <c r="D14" s="56" t="n">
        <v>622340</v>
      </c>
      <c r="E14" s="56" t="n">
        <v>504802</v>
      </c>
      <c r="G14" s="25" t="s">
        <v>16</v>
      </c>
      <c r="H14" s="56" t="n">
        <v>27403</v>
      </c>
      <c r="I14" s="56" t="n">
        <v>34026</v>
      </c>
      <c r="J14" s="56" t="n">
        <v>40088</v>
      </c>
      <c r="K14" s="56" t="n">
        <v>21446</v>
      </c>
      <c r="M14" s="25" t="s">
        <v>9</v>
      </c>
      <c r="N14" s="58" t="n">
        <v>-2434</v>
      </c>
      <c r="O14" s="56" t="n">
        <v>51353</v>
      </c>
      <c r="P14" s="58" t="n">
        <v>-2228</v>
      </c>
      <c r="Q14" s="56" t="n">
        <v>15722</v>
      </c>
    </row>
    <row r="15" customFormat="false" ht="15" hidden="false" customHeight="false" outlineLevel="0" collapsed="false">
      <c r="A15" s="25" t="s">
        <v>17</v>
      </c>
      <c r="B15" s="56" t="n">
        <v>134432</v>
      </c>
      <c r="C15" s="56" t="n">
        <v>117098</v>
      </c>
      <c r="D15" s="56" t="n">
        <v>94192</v>
      </c>
      <c r="E15" s="56" t="n">
        <v>166067</v>
      </c>
      <c r="G15" s="25" t="s">
        <v>18</v>
      </c>
      <c r="H15" s="56" t="n">
        <v>221608</v>
      </c>
      <c r="I15" s="56" t="n">
        <v>221047</v>
      </c>
      <c r="J15" s="56" t="n">
        <v>221849</v>
      </c>
      <c r="K15" s="56" t="n">
        <v>207789</v>
      </c>
      <c r="M15" s="25" t="s">
        <v>19</v>
      </c>
      <c r="N15" s="57"/>
      <c r="O15" s="57"/>
      <c r="P15" s="57"/>
      <c r="Q15" s="57"/>
    </row>
    <row r="16" customFormat="false" ht="15" hidden="false" customHeight="false" outlineLevel="0" collapsed="false">
      <c r="A16" s="25" t="s">
        <v>20</v>
      </c>
      <c r="B16" s="56" t="n">
        <v>1406231</v>
      </c>
      <c r="C16" s="56" t="n">
        <v>1354263</v>
      </c>
      <c r="D16" s="56" t="n">
        <v>1356874</v>
      </c>
      <c r="E16" s="56" t="n">
        <v>1490008</v>
      </c>
      <c r="G16" s="25" t="s">
        <v>21</v>
      </c>
      <c r="H16" s="56" t="n">
        <v>58861</v>
      </c>
      <c r="I16" s="58" t="n">
        <v>48134</v>
      </c>
      <c r="J16" s="56" t="n">
        <v>83869</v>
      </c>
      <c r="K16" s="56" t="n">
        <v>49625</v>
      </c>
      <c r="M16" s="25" t="s">
        <v>22</v>
      </c>
      <c r="N16" s="56" t="n">
        <v>3190</v>
      </c>
      <c r="O16" s="58" t="n">
        <v>-18486</v>
      </c>
      <c r="P16" s="58" t="n">
        <v>-48176</v>
      </c>
      <c r="Q16" s="58" t="n">
        <v>-29111</v>
      </c>
    </row>
    <row r="17" customFormat="false" ht="15" hidden="false" customHeight="false" outlineLevel="0" collapsed="false">
      <c r="A17" s="25" t="s">
        <v>23</v>
      </c>
      <c r="B17" s="56" t="n">
        <v>194009</v>
      </c>
      <c r="C17" s="56" t="n">
        <v>182164</v>
      </c>
      <c r="D17" s="56" t="n">
        <v>194101</v>
      </c>
      <c r="E17" s="56" t="n">
        <v>198455</v>
      </c>
      <c r="G17" s="25" t="s">
        <v>11</v>
      </c>
      <c r="H17" s="56" t="n">
        <v>5418</v>
      </c>
      <c r="I17" s="58" t="n">
        <v>4588</v>
      </c>
      <c r="J17" s="56" t="n">
        <v>3538</v>
      </c>
      <c r="K17" s="56" t="n">
        <v>3582</v>
      </c>
      <c r="M17" s="25" t="s">
        <v>24</v>
      </c>
      <c r="N17" s="56" t="n">
        <v>3525</v>
      </c>
      <c r="O17" s="58" t="n">
        <v>-7901</v>
      </c>
      <c r="P17" s="58" t="n">
        <v>-5555</v>
      </c>
      <c r="Q17" s="58" t="n">
        <v>-3236</v>
      </c>
    </row>
    <row r="18" customFormat="false" ht="15" hidden="false" customHeight="false" outlineLevel="0" collapsed="false">
      <c r="A18" s="25" t="s">
        <v>25</v>
      </c>
      <c r="B18" s="56" t="n">
        <v>159620</v>
      </c>
      <c r="C18" s="56" t="n">
        <v>157425</v>
      </c>
      <c r="D18" s="56" t="n">
        <v>164790</v>
      </c>
      <c r="E18" s="56" t="n">
        <v>199774</v>
      </c>
      <c r="G18" s="25" t="s">
        <v>26</v>
      </c>
      <c r="H18" s="56" t="n">
        <v>9995</v>
      </c>
      <c r="I18" s="58" t="n">
        <v>9517</v>
      </c>
      <c r="J18" s="56" t="n">
        <v>14181</v>
      </c>
      <c r="K18" s="56" t="n">
        <v>11069</v>
      </c>
      <c r="M18" s="25" t="s">
        <v>27</v>
      </c>
      <c r="N18" s="58" t="n">
        <v>-110031</v>
      </c>
      <c r="O18" s="58" t="n">
        <v>-33330</v>
      </c>
      <c r="P18" s="58" t="n">
        <v>-185730</v>
      </c>
      <c r="Q18" s="58" t="n">
        <v>-106570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74274</v>
      </c>
      <c r="I19" s="58" t="n">
        <v>62239</v>
      </c>
      <c r="J19" s="56" t="n">
        <v>101588</v>
      </c>
      <c r="K19" s="56" t="n">
        <v>64276</v>
      </c>
      <c r="M19" s="25" t="s">
        <v>30</v>
      </c>
      <c r="N19" s="58" t="n">
        <v>-13249</v>
      </c>
      <c r="O19" s="58" t="n">
        <v>-44647</v>
      </c>
      <c r="P19" s="56" t="n">
        <v>287984</v>
      </c>
      <c r="Q19" s="56" t="n">
        <v>8157</v>
      </c>
    </row>
    <row r="20" customFormat="false" ht="15" hidden="false" customHeight="false" outlineLevel="0" collapsed="false">
      <c r="A20" s="25" t="s">
        <v>31</v>
      </c>
      <c r="B20" s="56" t="n">
        <v>1052602</v>
      </c>
      <c r="C20" s="56" t="n">
        <v>1014674</v>
      </c>
      <c r="D20" s="56" t="n">
        <v>997983</v>
      </c>
      <c r="E20" s="56" t="n">
        <v>1091779</v>
      </c>
      <c r="G20" s="25" t="s">
        <v>32</v>
      </c>
      <c r="H20" s="56" t="n">
        <v>147334</v>
      </c>
      <c r="I20" s="56" t="n">
        <v>158808</v>
      </c>
      <c r="J20" s="56" t="n">
        <v>120261</v>
      </c>
      <c r="K20" s="56" t="n">
        <v>143513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5443</v>
      </c>
      <c r="I21" s="56" t="n">
        <v>6548</v>
      </c>
      <c r="J21" s="56" t="n">
        <v>6323</v>
      </c>
      <c r="K21" s="56" t="n">
        <v>4127</v>
      </c>
      <c r="M21" s="25" t="s">
        <v>36</v>
      </c>
      <c r="N21" s="58" t="n">
        <v>-105000</v>
      </c>
      <c r="O21" s="58" t="n">
        <v>-136650</v>
      </c>
      <c r="P21" s="58" t="n">
        <v>-207733</v>
      </c>
      <c r="Q21" s="58" t="n">
        <v>-112500</v>
      </c>
    </row>
    <row r="22" customFormat="false" ht="15" hidden="false" customHeight="false" outlineLevel="0" collapsed="false">
      <c r="A22" s="25" t="s">
        <v>37</v>
      </c>
      <c r="B22" s="56" t="n">
        <v>1406231</v>
      </c>
      <c r="C22" s="56" t="n">
        <v>1354263</v>
      </c>
      <c r="D22" s="56" t="n">
        <v>1356874</v>
      </c>
      <c r="E22" s="56" t="n">
        <v>1490008</v>
      </c>
      <c r="G22" s="25" t="s">
        <v>8</v>
      </c>
      <c r="H22" s="56" t="n">
        <v>141891</v>
      </c>
      <c r="I22" s="56" t="n">
        <v>152260</v>
      </c>
      <c r="J22" s="56" t="n">
        <v>113938</v>
      </c>
      <c r="K22" s="56" t="n">
        <v>139386</v>
      </c>
      <c r="M22" s="25" t="s">
        <v>38</v>
      </c>
      <c r="N22" s="56" t="n">
        <v>48076</v>
      </c>
      <c r="O22" s="56" t="n">
        <v>24476</v>
      </c>
      <c r="P22" s="56" t="n">
        <v>11899</v>
      </c>
      <c r="Q22" s="56" t="n">
        <v>42552</v>
      </c>
    </row>
    <row r="23" customFormat="false" ht="15" hidden="false" customHeight="false" outlineLevel="0" collapsed="false">
      <c r="B23" s="4" t="n">
        <f aca="false">B11+B12</f>
        <v>274037</v>
      </c>
      <c r="C23" s="4" t="n">
        <f aca="false">C11+C12</f>
        <v>262937</v>
      </c>
      <c r="D23" s="4" t="n">
        <f aca="false">D11+D12</f>
        <v>262344</v>
      </c>
      <c r="E23" s="4" t="n">
        <f aca="false">E11+E12</f>
        <v>224334</v>
      </c>
      <c r="G23" s="25" t="s">
        <v>39</v>
      </c>
      <c r="H23" s="56" t="n">
        <v>1109</v>
      </c>
      <c r="I23" s="56" t="n">
        <v>725</v>
      </c>
      <c r="J23" s="56" t="n">
        <v>105914</v>
      </c>
      <c r="K23" s="56" t="n">
        <v>57034</v>
      </c>
      <c r="M23" s="25" t="s">
        <v>40</v>
      </c>
      <c r="N23" s="56" t="n">
        <v>52830</v>
      </c>
      <c r="O23" s="56" t="n">
        <v>48076</v>
      </c>
      <c r="P23" s="56" t="n">
        <v>24476</v>
      </c>
      <c r="Q23" s="56" t="n">
        <v>11899</v>
      </c>
    </row>
    <row r="24" customFormat="false" ht="15" hidden="false" customHeight="false" outlineLevel="0" collapsed="false">
      <c r="G24" s="25" t="s">
        <v>41</v>
      </c>
      <c r="H24" s="56" t="n">
        <v>14189</v>
      </c>
      <c r="I24" s="58" t="n">
        <v>15226</v>
      </c>
      <c r="J24" s="56" t="n">
        <v>11394</v>
      </c>
      <c r="K24" s="56" t="n">
        <v>13939</v>
      </c>
      <c r="M24" s="2" t="s">
        <v>42</v>
      </c>
      <c r="N24" s="12" t="n">
        <f aca="false">SUM(N11:N17)</f>
        <v>233034</v>
      </c>
      <c r="O24" s="12" t="n">
        <f aca="false">SUM(O11:O17)</f>
        <v>238227</v>
      </c>
      <c r="P24" s="12" t="n">
        <f aca="false">SUM(P11:P17)</f>
        <v>118056</v>
      </c>
      <c r="Q24" s="12" t="n">
        <f aca="false">SUM(Q11:Q17)</f>
        <v>180260</v>
      </c>
    </row>
    <row r="25" customFormat="false" ht="15" hidden="false" customHeight="false" outlineLevel="0" collapsed="false">
      <c r="G25" s="25" t="s">
        <v>43</v>
      </c>
      <c r="H25" s="56" t="n">
        <v>105000</v>
      </c>
      <c r="I25" s="58" t="n">
        <v>135000</v>
      </c>
      <c r="J25" s="56" t="n">
        <v>206250</v>
      </c>
      <c r="K25" s="56" t="n">
        <v>75000</v>
      </c>
      <c r="M25" s="2" t="s">
        <v>44</v>
      </c>
      <c r="N25" s="12" t="n">
        <f aca="false">N18+N19</f>
        <v>-123280</v>
      </c>
      <c r="O25" s="12" t="n">
        <f aca="false">O18+O19</f>
        <v>-77977</v>
      </c>
      <c r="P25" s="12" t="n">
        <f aca="false">P18+P19</f>
        <v>102254</v>
      </c>
      <c r="Q25" s="12" t="n">
        <f aca="false">Q18+Q19</f>
        <v>-98413</v>
      </c>
    </row>
    <row r="26" customFormat="false" ht="15" hidden="false" customHeight="false" outlineLevel="0" collapsed="false">
      <c r="G26" s="25" t="s">
        <v>45</v>
      </c>
      <c r="H26" s="56" t="n">
        <v>1800</v>
      </c>
      <c r="I26" s="58" t="n">
        <v>1650</v>
      </c>
      <c r="J26" s="56" t="n">
        <v>1483</v>
      </c>
      <c r="K26" s="56" t="n">
        <v>1567</v>
      </c>
      <c r="M26" s="2" t="s">
        <v>46</v>
      </c>
      <c r="N26" s="12" t="n">
        <f aca="false">N20+N21</f>
        <v>-105000</v>
      </c>
      <c r="O26" s="12" t="n">
        <f aca="false">O20+O21</f>
        <v>-136650</v>
      </c>
      <c r="P26" s="12" t="n">
        <f aca="false">P20+P21</f>
        <v>-207733</v>
      </c>
      <c r="Q26" s="12" t="n">
        <f aca="false">Q20+Q21</f>
        <v>-112500</v>
      </c>
    </row>
    <row r="27" customFormat="false" ht="15" hidden="false" customHeight="false" outlineLevel="0" collapsed="false">
      <c r="G27" s="25" t="s">
        <v>47</v>
      </c>
      <c r="H27" s="56" t="n">
        <v>22011</v>
      </c>
      <c r="I27" s="56" t="n">
        <v>1109</v>
      </c>
      <c r="J27" s="56" t="n">
        <v>725</v>
      </c>
      <c r="K27" s="56" t="n">
        <v>105914</v>
      </c>
      <c r="M27" s="2" t="s">
        <v>48</v>
      </c>
      <c r="N27" s="12" t="n">
        <f aca="false">N24+N25+N26</f>
        <v>4754</v>
      </c>
      <c r="O27" s="12" t="n">
        <f aca="false">O24+O25+O26</f>
        <v>23600</v>
      </c>
      <c r="P27" s="12" t="n">
        <f aca="false">P24+P25+P26</f>
        <v>12577</v>
      </c>
      <c r="Q27" s="12" t="n">
        <f aca="false">Q24+Q25+Q26</f>
        <v>-30653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0.119076453299636</v>
      </c>
      <c r="C30" s="24" t="n">
        <f aca="false">C11/C$16</f>
        <v>0.117247536113739</v>
      </c>
      <c r="D30" s="24" t="n">
        <f aca="false">D11/D$16</f>
        <v>0.0787383353207446</v>
      </c>
      <c r="E30" s="24" t="n">
        <f aca="false">E11/E$16</f>
        <v>0.0476876634219414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0.0772587597403278</v>
      </c>
      <c r="O30" s="26" t="n">
        <f aca="false">O11/I$11</f>
        <v>0.088317502335721</v>
      </c>
      <c r="P30" s="26" t="n">
        <f aca="false">P11/J$11</f>
        <v>0.0672677093739617</v>
      </c>
      <c r="Q30" s="26" t="n">
        <f aca="false">Q11/K$11</f>
        <v>0.081927467363282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0.0757969352119246</v>
      </c>
      <c r="C31" s="24" t="n">
        <f aca="false">C12/C$16</f>
        <v>0.0769075135331911</v>
      </c>
      <c r="D31" s="24" t="n">
        <f aca="false">D12/D$16</f>
        <v>0.114606072487202</v>
      </c>
      <c r="E31" s="24" t="n">
        <f aca="false">E12/E$16</f>
        <v>0.102871259751625</v>
      </c>
      <c r="F31" s="6"/>
      <c r="G31" s="25" t="s">
        <v>10</v>
      </c>
      <c r="H31" s="24" t="n">
        <f aca="false">H12/H$11</f>
        <v>0.898163102641818</v>
      </c>
      <c r="I31" s="24" t="n">
        <f aca="false">I12/I$11</f>
        <v>0.895993126306892</v>
      </c>
      <c r="J31" s="24" t="n">
        <f aca="false">J12/J$11</f>
        <v>0.898331563915511</v>
      </c>
      <c r="K31" s="24" t="n">
        <f aca="false">K12/K$11</f>
        <v>0.893622110534404</v>
      </c>
      <c r="L31" s="6"/>
      <c r="M31" s="25" t="s">
        <v>11</v>
      </c>
      <c r="N31" s="26" t="n">
        <f aca="false">N12/H$11</f>
        <v>0.0447457289383436</v>
      </c>
      <c r="O31" s="26" t="n">
        <f aca="false">O12/I$11</f>
        <v>0.0460459580904925</v>
      </c>
      <c r="P31" s="26" t="n">
        <f aca="false">P12/J$11</f>
        <v>0.043047754144521</v>
      </c>
      <c r="Q31" s="26" t="n">
        <f aca="false">Q12/K$11</f>
        <v>0.0374725696291848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0.284092016176574</v>
      </c>
      <c r="C32" s="24" t="n">
        <f aca="false">C13/C$16</f>
        <v>0.295915195202114</v>
      </c>
      <c r="D32" s="24" t="n">
        <f aca="false">D13/D$16</f>
        <v>0.278580030275471</v>
      </c>
      <c r="E32" s="24" t="n">
        <f aca="false">E13/E$16</f>
        <v>0.399195843243795</v>
      </c>
      <c r="F32" s="6"/>
      <c r="G32" s="25" t="s">
        <v>13</v>
      </c>
      <c r="H32" s="24" t="n">
        <f aca="false">H13/H$11</f>
        <v>0.101836897358182</v>
      </c>
      <c r="I32" s="24" t="n">
        <f aca="false">I13/I$11</f>
        <v>0.104006873693109</v>
      </c>
      <c r="J32" s="24" t="n">
        <f aca="false">J13/J$11</f>
        <v>0.101668436084489</v>
      </c>
      <c r="K32" s="24" t="n">
        <f aca="false">K13/K$11</f>
        <v>0.106377889465596</v>
      </c>
      <c r="L32" s="6"/>
      <c r="M32" s="25" t="s">
        <v>14</v>
      </c>
      <c r="N32" s="26" t="n">
        <f aca="false">N13/H$11</f>
        <v>-0.00205136810311376</v>
      </c>
      <c r="O32" s="26" t="n">
        <f aca="false">O13/I$11</f>
        <v>-0.0157638919784669</v>
      </c>
      <c r="P32" s="26" t="n">
        <f aca="false">P13/J$11</f>
        <v>-0.0129797704641841</v>
      </c>
      <c r="Q32" s="26" t="n">
        <f aca="false">Q13/K$11</f>
        <v>-0.00700402121814823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0.425437214796147</v>
      </c>
      <c r="C33" s="24" t="n">
        <f aca="false">C14/C$16</f>
        <v>0.423463536993922</v>
      </c>
      <c r="D33" s="24" t="n">
        <f aca="false">D14/D$16</f>
        <v>0.458657178190458</v>
      </c>
      <c r="E33" s="24" t="n">
        <f aca="false">E14/E$16</f>
        <v>0.338791469576002</v>
      </c>
      <c r="F33" s="6"/>
      <c r="G33" s="25" t="s">
        <v>16</v>
      </c>
      <c r="H33" s="24" t="n">
        <f aca="false">H14/H$11</f>
        <v>0.0143695399104362</v>
      </c>
      <c r="I33" s="24" t="n">
        <f aca="false">I14/I$11</f>
        <v>0.0189226765137696</v>
      </c>
      <c r="J33" s="24" t="n">
        <f aca="false">J14/J$11</f>
        <v>0.0224233155944069</v>
      </c>
      <c r="K33" s="24" t="n">
        <f aca="false">K14/K$11</f>
        <v>0.0122429080645861</v>
      </c>
      <c r="L33" s="6"/>
      <c r="M33" s="25" t="s">
        <v>9</v>
      </c>
      <c r="N33" s="26" t="n">
        <f aca="false">N14/H$11</f>
        <v>-0.00127633690260197</v>
      </c>
      <c r="O33" s="26" t="n">
        <f aca="false">O14/I$11</f>
        <v>0.0285586377185567</v>
      </c>
      <c r="P33" s="26" t="n">
        <f aca="false">P14/J$11</f>
        <v>-0.0012462369573024</v>
      </c>
      <c r="Q33" s="26" t="n">
        <f aca="false">Q14/K$11</f>
        <v>0.00897524016559838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0.095597380515719</v>
      </c>
      <c r="C34" s="24" t="n">
        <f aca="false">C15/C$16</f>
        <v>0.0864662181570345</v>
      </c>
      <c r="D34" s="24" t="n">
        <f aca="false">D15/D$16</f>
        <v>0.0694183837261234</v>
      </c>
      <c r="E34" s="24" t="n">
        <f aca="false">E15/E$16</f>
        <v>0.111453764006636</v>
      </c>
      <c r="F34" s="6"/>
      <c r="G34" s="25" t="s">
        <v>18</v>
      </c>
      <c r="H34" s="24" t="n">
        <f aca="false">H15/H$11</f>
        <v>0.116206437268618</v>
      </c>
      <c r="I34" s="24" t="n">
        <f aca="false">I15/I$11</f>
        <v>0.122929550206878</v>
      </c>
      <c r="J34" s="24" t="n">
        <f aca="false">J15/J$11</f>
        <v>0.124091751678896</v>
      </c>
      <c r="K34" s="24" t="n">
        <f aca="false">K15/K$11</f>
        <v>0.118620797530182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0.0308654340279599</v>
      </c>
      <c r="I35" s="24" t="n">
        <f aca="false">I16/I$11</f>
        <v>0.0267684744405392</v>
      </c>
      <c r="J35" s="24" t="n">
        <f aca="false">J16/J$11</f>
        <v>0.0469123192872509</v>
      </c>
      <c r="K35" s="24" t="n">
        <f aca="false">K16/K$11</f>
        <v>0.0283294932717097</v>
      </c>
      <c r="L35" s="6"/>
      <c r="M35" s="25" t="s">
        <v>22</v>
      </c>
      <c r="N35" s="26" t="n">
        <f aca="false">N16/H$11</f>
        <v>0.0016727669347988</v>
      </c>
      <c r="O35" s="26" t="n">
        <f aca="false">O16/I$11</f>
        <v>-0.0102805089647195</v>
      </c>
      <c r="P35" s="26" t="n">
        <f aca="false">P16/J$11</f>
        <v>-0.026947357116248</v>
      </c>
      <c r="Q35" s="26" t="n">
        <f aca="false">Q16/K$11</f>
        <v>-0.0166186373528008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0.137963819600051</v>
      </c>
      <c r="C36" s="24" t="n">
        <f aca="false">C17/C$16</f>
        <v>0.134511538748382</v>
      </c>
      <c r="D36" s="24" t="n">
        <f aca="false">D17/D$16</f>
        <v>0.143050128457027</v>
      </c>
      <c r="E36" s="24" t="n">
        <f aca="false">E17/E$16</f>
        <v>0.133190560050684</v>
      </c>
      <c r="F36" s="6"/>
      <c r="G36" s="25" t="s">
        <v>11</v>
      </c>
      <c r="H36" s="24" t="n">
        <f aca="false">H17/H$11</f>
        <v>0.00284108189741062</v>
      </c>
      <c r="I36" s="24" t="n">
        <f aca="false">I17/I$11</f>
        <v>0.00255149708591004</v>
      </c>
      <c r="J36" s="24" t="n">
        <f aca="false">J17/J$11</f>
        <v>0.00197898848964807</v>
      </c>
      <c r="K36" s="24" t="n">
        <f aca="false">K17/K$11</f>
        <v>0.00204486135817157</v>
      </c>
      <c r="L36" s="6"/>
      <c r="M36" s="25" t="s">
        <v>24</v>
      </c>
      <c r="N36" s="26" t="n">
        <f aca="false">N17/H$11</f>
        <v>0.00184843368187014</v>
      </c>
      <c r="O36" s="26" t="n">
        <f aca="false">O17/I$11</f>
        <v>-0.00439393602349068</v>
      </c>
      <c r="P36" s="26" t="n">
        <f aca="false">P17/J$11</f>
        <v>-0.00310720210853449</v>
      </c>
      <c r="Q36" s="26" t="n">
        <f aca="false">Q17/K$11</f>
        <v>-0.00184733985344589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0.113509089189472</v>
      </c>
      <c r="C37" s="24" t="n">
        <f aca="false">C18/C$16</f>
        <v>0.116244038270262</v>
      </c>
      <c r="D37" s="24" t="n">
        <f aca="false">D18/D$16</f>
        <v>0.121448270067818</v>
      </c>
      <c r="E37" s="24" t="n">
        <f aca="false">E18/E$16</f>
        <v>0.1340757901971</v>
      </c>
      <c r="F37" s="6"/>
      <c r="G37" s="25" t="s">
        <v>26</v>
      </c>
      <c r="H37" s="24" t="n">
        <f aca="false">H18/H$11</f>
        <v>0.00524116160291974</v>
      </c>
      <c r="I37" s="24" t="n">
        <f aca="false">I18/I$11</f>
        <v>0.00529263246874583</v>
      </c>
      <c r="J37" s="24" t="n">
        <f aca="false">J18/J$11</f>
        <v>0.00793217517572053</v>
      </c>
      <c r="K37" s="24" t="n">
        <f aca="false">K18/K$11</f>
        <v>0.00631897553701873</v>
      </c>
      <c r="L37" s="6"/>
      <c r="M37" s="25" t="s">
        <v>27</v>
      </c>
      <c r="N37" s="26" t="n">
        <f aca="false">N18/H$11</f>
        <v>-0.0576978741701713</v>
      </c>
      <c r="O37" s="26" t="n">
        <f aca="false">O18/I$11</f>
        <v>-0.0185356141833875</v>
      </c>
      <c r="P37" s="26" t="n">
        <f aca="false">P18/J$11</f>
        <v>-0.103888505421802</v>
      </c>
      <c r="Q37" s="26" t="n">
        <f aca="false">Q18/K$11</f>
        <v>-0.0608377651983093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0.0389476775282902</v>
      </c>
      <c r="I38" s="24" t="n">
        <f aca="false">I19/I$11</f>
        <v>0.0346126039951951</v>
      </c>
      <c r="J38" s="24" t="n">
        <f aca="false">J19/J$11</f>
        <v>0.0568234829526195</v>
      </c>
      <c r="K38" s="24" t="n">
        <f aca="false">K19/K$11</f>
        <v>0.0366933301669</v>
      </c>
      <c r="L38" s="6"/>
      <c r="M38" s="25" t="s">
        <v>30</v>
      </c>
      <c r="N38" s="26" t="n">
        <f aca="false">N19/H$11</f>
        <v>-0.0069474887520844</v>
      </c>
      <c r="O38" s="26" t="n">
        <f aca="false">O19/I$11</f>
        <v>-0.024829269920363</v>
      </c>
      <c r="P38" s="26" t="n">
        <f aca="false">P19/J$11</f>
        <v>0.161084517016057</v>
      </c>
      <c r="Q38" s="26" t="n">
        <f aca="false">Q19/K$11</f>
        <v>0.0046565980174778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0.748527091210477</v>
      </c>
      <c r="C39" s="24" t="n">
        <f aca="false">C20/C$16</f>
        <v>0.749244422981356</v>
      </c>
      <c r="D39" s="24" t="n">
        <f aca="false">D20/D$16</f>
        <v>0.735501601475155</v>
      </c>
      <c r="E39" s="24" t="n">
        <f aca="false">E20/E$16</f>
        <v>0.732733649752216</v>
      </c>
      <c r="F39" s="6"/>
      <c r="G39" s="25" t="s">
        <v>32</v>
      </c>
      <c r="H39" s="24" t="n">
        <f aca="false">H20/H$11</f>
        <v>0.0772587597403278</v>
      </c>
      <c r="I39" s="24" t="n">
        <f aca="false">I20/I$11</f>
        <v>0.0883169462116831</v>
      </c>
      <c r="J39" s="24" t="n">
        <f aca="false">J20/J$11</f>
        <v>0.0672682687262765</v>
      </c>
      <c r="K39" s="24" t="n">
        <f aca="false">K20/K$11</f>
        <v>0.081927467363282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0.00285419135614729</v>
      </c>
      <c r="I40" s="24" t="n">
        <f aca="false">I21/I$11</f>
        <v>0.00364150020020465</v>
      </c>
      <c r="J40" s="24" t="n">
        <f aca="false">J21/J$11</f>
        <v>0.00353678468627607</v>
      </c>
      <c r="K40" s="24" t="n">
        <f aca="false">K21/K$11</f>
        <v>0.00235598627168455</v>
      </c>
      <c r="L40" s="6"/>
      <c r="M40" s="25" t="s">
        <v>36</v>
      </c>
      <c r="N40" s="26" t="n">
        <f aca="false">N21/H$11</f>
        <v>-0.0550597266940043</v>
      </c>
      <c r="O40" s="26" t="n">
        <f aca="false">O21/I$11</f>
        <v>-0.0759943497797749</v>
      </c>
      <c r="P40" s="26" t="n">
        <f aca="false">P21/J$11</f>
        <v>-0.116195934403635</v>
      </c>
      <c r="Q40" s="26" t="n">
        <f aca="false">Q21/K$11</f>
        <v>-0.0642230326058909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0.0744045683841806</v>
      </c>
      <c r="I41" s="24" t="n">
        <f aca="false">I22/I$11</f>
        <v>0.0846754460114784</v>
      </c>
      <c r="J41" s="24" t="n">
        <f aca="false">J22/J$11</f>
        <v>0.0637314840400004</v>
      </c>
      <c r="K41" s="24" t="n">
        <f aca="false">K22/K$11</f>
        <v>0.0795714810915975</v>
      </c>
      <c r="L41" s="6"/>
      <c r="M41" s="25" t="s">
        <v>38</v>
      </c>
      <c r="N41" s="26" t="n">
        <f aca="false">N22/H$11</f>
        <v>0.0252100135289614</v>
      </c>
      <c r="O41" s="26" t="n">
        <f aca="false">O22/I$11</f>
        <v>0.0136116919517729</v>
      </c>
      <c r="P41" s="26" t="n">
        <f aca="false">P22/J$11</f>
        <v>0.00665573319342067</v>
      </c>
      <c r="Q41" s="26" t="n">
        <f aca="false">Q22/K$11</f>
        <v>0.0242917198528522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0.000581535589558578</v>
      </c>
      <c r="I42" s="24" t="n">
        <f aca="false">I23/I$11</f>
        <v>0.000403189927481425</v>
      </c>
      <c r="J42" s="24" t="n">
        <f aca="false">J23/J$11</f>
        <v>0.0592432410663045</v>
      </c>
      <c r="K42" s="24" t="n">
        <f aca="false">K23/K$11</f>
        <v>0.0325590794812834</v>
      </c>
      <c r="L42" s="6"/>
      <c r="M42" s="25" t="s">
        <v>40</v>
      </c>
      <c r="N42" s="26" t="n">
        <f aca="false">N23/H$11</f>
        <v>0.0277029082023261</v>
      </c>
      <c r="O42" s="26" t="n">
        <f aca="false">O23/I$11</f>
        <v>0.0267362192463407</v>
      </c>
      <c r="P42" s="26" t="n">
        <f aca="false">P23/J$11</f>
        <v>0.0136907072562538</v>
      </c>
      <c r="Q42" s="26" t="n">
        <f aca="false">Q23/K$11</f>
        <v>0.00679279879979997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0.00744040440058311</v>
      </c>
      <c r="I43" s="24" t="n">
        <f aca="false">I24/I$11</f>
        <v>0.00846754460114784</v>
      </c>
      <c r="J43" s="24" t="n">
        <f aca="false">J24/J$11</f>
        <v>0.00637326027446299</v>
      </c>
      <c r="K43" s="24" t="n">
        <f aca="false">K24/K$11</f>
        <v>0.00795737645772012</v>
      </c>
      <c r="L43" s="6"/>
      <c r="M43" s="2" t="s">
        <v>49</v>
      </c>
      <c r="N43" s="26" t="n">
        <f aca="false">N24/H11</f>
        <v>0.122197984289625</v>
      </c>
      <c r="O43" s="26" t="n">
        <f aca="false">O24/I11</f>
        <v>0.132483761178093</v>
      </c>
      <c r="P43" s="26" t="n">
        <f aca="false">P24/J11</f>
        <v>0.0660348968722137</v>
      </c>
      <c r="Q43" s="26" t="n">
        <f aca="false">Q24/K11</f>
        <v>0.10290527873367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0.0550597266940043</v>
      </c>
      <c r="I44" s="24" t="n">
        <f aca="false">I25/I$11</f>
        <v>0.075076745117231</v>
      </c>
      <c r="J44" s="24" t="n">
        <f aca="false">J25/J$11</f>
        <v>0.115366414920835</v>
      </c>
      <c r="K44" s="24" t="n">
        <f aca="false">K25/K$11</f>
        <v>0.042815355070594</v>
      </c>
      <c r="L44" s="6"/>
      <c r="M44" s="2" t="s">
        <v>50</v>
      </c>
      <c r="N44" s="26" t="n">
        <f aca="false">N24/B16</f>
        <v>0.165715305664574</v>
      </c>
      <c r="O44" s="26" t="n">
        <f aca="false">O24/C16</f>
        <v>0.175908963030076</v>
      </c>
      <c r="P44" s="26" t="n">
        <f aca="false">P24/D16</f>
        <v>0.0870058678993038</v>
      </c>
      <c r="Q44" s="26" t="n">
        <f aca="false">Q24/E16</f>
        <v>0.120979216218973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0.000943881029040073</v>
      </c>
      <c r="I45" s="24" t="n">
        <f aca="false">I26/I$11</f>
        <v>0.000917604662543934</v>
      </c>
      <c r="J45" s="24" t="n">
        <f aca="false">J26/J$11</f>
        <v>0.000829519482800476</v>
      </c>
      <c r="K45" s="24" t="n">
        <f aca="false">K26/K$11</f>
        <v>0.000894555485274943</v>
      </c>
      <c r="L45" s="6"/>
      <c r="M45" s="2" t="s">
        <v>51</v>
      </c>
      <c r="N45" s="26" t="n">
        <f aca="false">N24/B20</f>
        <v>0.221388521017441</v>
      </c>
      <c r="O45" s="26" t="n">
        <f aca="false">O24/C20</f>
        <v>0.234781811695185</v>
      </c>
      <c r="P45" s="26" t="n">
        <f aca="false">P24/D20</f>
        <v>0.118294600208621</v>
      </c>
      <c r="Q45" s="26" t="n">
        <f aca="false">Q24/E20</f>
        <v>0.165106674519294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0.0115420918501117</v>
      </c>
      <c r="I46" s="24" t="n">
        <f aca="false">I27/I$11</f>
        <v>0.000616741558037105</v>
      </c>
      <c r="J46" s="24" t="n">
        <f aca="false">J27/J$11</f>
        <v>0.000405530428206571</v>
      </c>
      <c r="K46" s="24" t="n">
        <f aca="false">K27/K$11</f>
        <v>0.0604632735592918</v>
      </c>
      <c r="L46" s="6"/>
      <c r="M46" s="2" t="s">
        <v>52</v>
      </c>
      <c r="N46" s="26" t="n">
        <f aca="false">N24/H22</f>
        <v>1.64234518045542</v>
      </c>
      <c r="O46" s="26" t="n">
        <f aca="false">O24/I22</f>
        <v>1.56460659398397</v>
      </c>
      <c r="P46" s="26" t="n">
        <f aca="false">P24/J22</f>
        <v>1.03614246344503</v>
      </c>
      <c r="Q46" s="26" t="n">
        <f aca="false">Q24/K22</f>
        <v>1.29324322385318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0.658978760226113</v>
      </c>
      <c r="O47" s="26" t="n">
        <f aca="false">O24/(C22-C20)</f>
        <v>0.701515655689672</v>
      </c>
      <c r="P47" s="26" t="n">
        <f aca="false">P24/(D22-D20)</f>
        <v>0.328946671830723</v>
      </c>
      <c r="Q47" s="26" t="n">
        <f aca="false">Q24/(E22-E20)</f>
        <v>0.4526541261435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2.21937142857143</v>
      </c>
      <c r="O48" s="26" t="n">
        <f aca="false">O24/I25</f>
        <v>1.76464444444444</v>
      </c>
      <c r="P48" s="26" t="n">
        <f aca="false">P24/J25</f>
        <v>0.572392727272727</v>
      </c>
      <c r="Q48" s="26" t="n">
        <f aca="false">Q24/K25</f>
        <v>2.40346666666667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2.11789404804101</v>
      </c>
      <c r="O49" s="26" t="n">
        <f aca="false">O24/(O18*-1)</f>
        <v>7.14752475247525</v>
      </c>
      <c r="P49" s="26" t="n">
        <f aca="false">P24/(P18*-1)</f>
        <v>0.635632369568729</v>
      </c>
      <c r="Q49" s="26" t="n">
        <f aca="false">Q24/(Q18*-1)</f>
        <v>1.69147039504551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0.0376933921640059</v>
      </c>
      <c r="I50" s="28" t="n">
        <f aca="false">LN(I13/J13)</f>
        <v>0.028528272736499</v>
      </c>
      <c r="J50" s="28" t="n">
        <f aca="false">LN(J13/K13)</f>
        <v>-0.0248964242173428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1.41249632748996</v>
      </c>
      <c r="C51" s="30" t="n">
        <f aca="false">C23/C17</f>
        <v>1.44340813772205</v>
      </c>
      <c r="D51" s="30" t="n">
        <f aca="false">D23/D17</f>
        <v>1.35158499956208</v>
      </c>
      <c r="E51" s="30" t="n">
        <f aca="false">E23/E17</f>
        <v>1.13040235821723</v>
      </c>
      <c r="G51" s="29" t="s">
        <v>58</v>
      </c>
      <c r="H51" s="63" t="n">
        <f aca="false">H13/H11</f>
        <v>0.101836897358182</v>
      </c>
      <c r="I51" s="63" t="n">
        <f aca="false">I13/I11</f>
        <v>0.104006873693109</v>
      </c>
      <c r="J51" s="63" t="n">
        <f aca="false">J13/J11</f>
        <v>0.101668436084489</v>
      </c>
      <c r="K51" s="63" t="n">
        <f aca="false">K13/K11</f>
        <v>0.106377889465596</v>
      </c>
      <c r="M51" s="2" t="s">
        <v>59</v>
      </c>
      <c r="N51" s="32" t="n">
        <f aca="false">(N11-N24-N25)/B16</f>
        <v>0.0267239166253624</v>
      </c>
      <c r="O51" s="32" t="n">
        <f aca="false">(O11-O24-O25)/C16</f>
        <v>-0.0010640473822293</v>
      </c>
      <c r="P51" s="32" t="n">
        <f aca="false">(P11-P24-P25)/D16</f>
        <v>-0.073735660053918</v>
      </c>
      <c r="Q51" s="32" t="n">
        <f aca="false">(Q11-Q24-Q25)/E16</f>
        <v>0.0413863549725908</v>
      </c>
    </row>
    <row r="52" customFormat="false" ht="15" hidden="false" customHeight="false" outlineLevel="0" collapsed="false">
      <c r="A52" s="29" t="s">
        <v>60</v>
      </c>
      <c r="B52" s="49" t="n">
        <f aca="false">H20/B16</f>
        <v>0.104772260034091</v>
      </c>
      <c r="C52" s="49" t="n">
        <f aca="false">I20/C16</f>
        <v>0.117265257929959</v>
      </c>
      <c r="D52" s="49" t="n">
        <f aca="false">J20/D16</f>
        <v>0.0886309266741053</v>
      </c>
      <c r="E52" s="49" t="n">
        <f aca="false">K20/E16</f>
        <v>0.0963169325265368</v>
      </c>
      <c r="F52" s="31"/>
      <c r="G52" s="29" t="s">
        <v>61</v>
      </c>
      <c r="H52" s="63" t="n">
        <f aca="false">H16/H11</f>
        <v>0.0308654340279599</v>
      </c>
      <c r="I52" s="63" t="n">
        <f aca="false">I16/I11</f>
        <v>0.0267684744405392</v>
      </c>
      <c r="J52" s="63" t="n">
        <f aca="false">J16/J11</f>
        <v>0.0469123192872509</v>
      </c>
      <c r="K52" s="63" t="n">
        <f aca="false">K16/K11</f>
        <v>0.0283294932717097</v>
      </c>
      <c r="M52" s="6"/>
    </row>
    <row r="53" customFormat="false" ht="15" hidden="false" customHeight="false" outlineLevel="0" collapsed="false">
      <c r="A53" s="29" t="s">
        <v>62</v>
      </c>
      <c r="B53" s="49" t="n">
        <f aca="false">H20/B20</f>
        <v>0.139971233191653</v>
      </c>
      <c r="C53" s="49" t="n">
        <f aca="false">I20/C20</f>
        <v>0.156511352414667</v>
      </c>
      <c r="D53" s="49" t="n">
        <f aca="false">J20/D20</f>
        <v>0.120504056682328</v>
      </c>
      <c r="E53" s="49" t="n">
        <f aca="false">K20/E20</f>
        <v>0.131448763898188</v>
      </c>
      <c r="G53" s="29" t="s">
        <v>11</v>
      </c>
      <c r="H53" s="71" t="n">
        <f aca="false">H17/H11</f>
        <v>0.00284108189741062</v>
      </c>
      <c r="I53" s="71" t="n">
        <f aca="false">I17/I11</f>
        <v>0.00255149708591004</v>
      </c>
      <c r="J53" s="71" t="n">
        <f aca="false">J17/J11</f>
        <v>0.00197898848964807</v>
      </c>
      <c r="K53" s="71" t="n">
        <f aca="false">K17/K11</f>
        <v>0.00204486135817157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17.8915074867715</v>
      </c>
      <c r="C54" s="30" t="n">
        <f aca="false">I11/C12</f>
        <v>17.2646011156664</v>
      </c>
      <c r="D54" s="30" t="n">
        <f aca="false">J11/D12</f>
        <v>11.4965467570383</v>
      </c>
      <c r="E54" s="30" t="n">
        <f aca="false">K11/E12</f>
        <v>11.4282321779239</v>
      </c>
      <c r="G54" s="29" t="s">
        <v>64</v>
      </c>
      <c r="H54" s="63" t="n">
        <f aca="false">H25/H22</f>
        <v>0.740004651457809</v>
      </c>
      <c r="I54" s="63" t="n">
        <f aca="false">I25/I22</f>
        <v>0.88664127150926</v>
      </c>
      <c r="J54" s="63" t="n">
        <f aca="false">J25/J22</f>
        <v>1.81019501834331</v>
      </c>
      <c r="K54" s="63" t="n">
        <f aca="false">K25/K22</f>
        <v>0.538074125091473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0.251472908789523</v>
      </c>
      <c r="C55" s="31" t="n">
        <f aca="false">(C22-C20)/C16</f>
        <v>0.250755577018644</v>
      </c>
      <c r="D55" s="31" t="n">
        <f aca="false">(D22-D20)/D16</f>
        <v>0.264498398524845</v>
      </c>
      <c r="E55" s="31" t="n">
        <f aca="false">(E22-E20)/E16</f>
        <v>0.267266350247784</v>
      </c>
      <c r="G55" s="29" t="s">
        <v>66</v>
      </c>
      <c r="H55" s="63" t="n">
        <f aca="false">H22/H11</f>
        <v>0.0744045683841806</v>
      </c>
      <c r="I55" s="63" t="n">
        <f aca="false">I22/I11</f>
        <v>0.0846754460114784</v>
      </c>
      <c r="J55" s="63" t="n">
        <f aca="false">J22/J11</f>
        <v>0.0637314840400004</v>
      </c>
      <c r="K55" s="63" t="n">
        <f aca="false">K22/K11</f>
        <v>0.0795714810915975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0.33595699039143</v>
      </c>
      <c r="C56" s="31" t="n">
        <f aca="false">(C22-C20)/C20</f>
        <v>0.334677935967611</v>
      </c>
      <c r="D56" s="31" t="n">
        <f aca="false">(D22-D20)/D20</f>
        <v>0.359616346170225</v>
      </c>
      <c r="E56" s="31" t="n">
        <f aca="false">(E22-E20)/E20</f>
        <v>0.364752390364717</v>
      </c>
      <c r="G56" s="33" t="s">
        <v>68</v>
      </c>
      <c r="H56" s="34" t="n">
        <f aca="false">H13/B16</f>
        <v>0.138103199261003</v>
      </c>
      <c r="I56" s="34" t="n">
        <f aca="false">I13/C16</f>
        <v>0.138097991305972</v>
      </c>
      <c r="J56" s="34" t="n">
        <f aca="false">J13/D16</f>
        <v>0.133955695222991</v>
      </c>
      <c r="K56" s="34" t="n">
        <f aca="false">K13/E16</f>
        <v>0.125061744634928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1.35612143381848</v>
      </c>
      <c r="C57" s="30" t="n">
        <f aca="false">I11/C16</f>
        <v>1.32777754394826</v>
      </c>
      <c r="D57" s="30" t="n">
        <f aca="false">J11/D16</f>
        <v>1.31757407098964</v>
      </c>
      <c r="E57" s="30" t="n">
        <f aca="false">K11/E16</f>
        <v>1.1756366408771</v>
      </c>
      <c r="G57" s="33" t="s">
        <v>70</v>
      </c>
      <c r="H57" s="35" t="n">
        <f aca="false">H25/$B$5</f>
        <v>50.7798331519768</v>
      </c>
      <c r="I57" s="35" t="n">
        <f aca="false">I25/$B$5</f>
        <v>65.2883569096844</v>
      </c>
      <c r="J57" s="35" t="n">
        <f aca="false">J25/$B$5</f>
        <v>99.7461008342401</v>
      </c>
      <c r="K57" s="35" t="n">
        <f aca="false">K25/$B$5</f>
        <v>36.2713093942691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1.33595699039143</v>
      </c>
      <c r="C58" s="30" t="n">
        <f aca="false">C16/C20</f>
        <v>1.33467793596761</v>
      </c>
      <c r="D58" s="30" t="n">
        <f aca="false">D16/D20</f>
        <v>1.35961634617023</v>
      </c>
      <c r="E58" s="30" t="n">
        <f aca="false">E16/E20</f>
        <v>1.36475239036472</v>
      </c>
      <c r="G58" s="36" t="s">
        <v>72</v>
      </c>
      <c r="H58" s="37" t="n">
        <f aca="false">H22/$B$7/1000</f>
        <v>1.89188</v>
      </c>
      <c r="I58" s="37" t="n">
        <f aca="false">I22/$B$7/1000</f>
        <v>2.03013333333333</v>
      </c>
      <c r="J58" s="37" t="n">
        <f aca="false">J22/$B$7/1000</f>
        <v>1.51917333333333</v>
      </c>
      <c r="K58" s="37" t="n">
        <f aca="false">K22/$B$7/1000</f>
        <v>1.85848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14.0346933333333</v>
      </c>
      <c r="I59" s="37" t="n">
        <f aca="false">C20/$B$7/1000</f>
        <v>13.5289866666667</v>
      </c>
      <c r="J59" s="37" t="n">
        <f aca="false">D20/$B$7/1000</f>
        <v>13.30644</v>
      </c>
      <c r="K59" s="37" t="n">
        <f aca="false">E20/$B$7/1000</f>
        <v>14.5570533333333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24.4421562372881</v>
      </c>
      <c r="I60" s="38" t="n">
        <f aca="false">SQRT(22.5*I58*I59)</f>
        <v>24.8591442523672</v>
      </c>
      <c r="J60" s="38" t="n">
        <f aca="false">SQRT(22.5*J58*J59)</f>
        <v>21.3268082050737</v>
      </c>
      <c r="K60" s="38" t="n">
        <f aca="false">SQRT(22.5*K58*K59)</f>
        <v>24.672146861917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0.769104533333333</v>
      </c>
      <c r="I61" s="39" t="n">
        <f aca="false">I58-(C20*0.08/1000/$B$7)</f>
        <v>0.9478144</v>
      </c>
      <c r="J61" s="39" t="n">
        <f aca="false">J58-(D20*0.08/1000/$B$7)</f>
        <v>0.454658133333334</v>
      </c>
      <c r="K61" s="39" t="n">
        <f aca="false">K58-(E20*0.08/1000/$B$7)</f>
        <v>0.693915733333333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1.4</v>
      </c>
      <c r="I62" s="41" t="n">
        <f aca="false">I25/$B$7/1000</f>
        <v>1.8</v>
      </c>
      <c r="J62" s="41" t="n">
        <f aca="false">J25/$B$7/1000</f>
        <v>2.75</v>
      </c>
      <c r="K62" s="41" t="n">
        <f aca="false">K25/$B$7/1000</f>
        <v>1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1.02130835081605</v>
      </c>
      <c r="I64" s="6" t="n">
        <f aca="false">J51/I51</f>
        <v>0.977516508999978</v>
      </c>
      <c r="J64" s="6" t="n">
        <f aca="false">K51/J51</f>
        <v>1.04632168608547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1.06053966276638</v>
      </c>
      <c r="I65" s="6" t="n">
        <f aca="false">I11/J11</f>
        <v>1.00580495832266</v>
      </c>
      <c r="J65" s="6" t="n">
        <f aca="false">J11/K11</f>
        <v>1.02059361491755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0.123780218165747</v>
      </c>
      <c r="I66" s="6" t="n">
        <f aca="false">(O13/I11)/(P13/J11)</f>
        <v>1.21449697604169</v>
      </c>
      <c r="J66" s="6" t="n">
        <f aca="false">(P13/J11)/(Q13/K11)</f>
        <v>1.85318834137053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1.1530516651788</v>
      </c>
      <c r="I67" s="6" t="n">
        <f aca="false">I52/J52</f>
        <v>0.570606502667924</v>
      </c>
      <c r="J67" s="6" t="n">
        <f aca="false">J52/K52</f>
        <v>1.65595335000568</v>
      </c>
      <c r="M67" s="6"/>
    </row>
    <row r="68" customFormat="false" ht="15" hidden="false" customHeight="false" outlineLevel="0" collapsed="false">
      <c r="G68" s="2" t="s">
        <v>109</v>
      </c>
      <c r="H68" s="2" t="n">
        <v>0</v>
      </c>
      <c r="I68" s="2" t="n">
        <v>0</v>
      </c>
      <c r="J68" s="2" t="n">
        <v>0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1.00095832439374</v>
      </c>
      <c r="I69" s="6" t="n">
        <f aca="false">C58/D58</f>
        <v>0.981657759357733</v>
      </c>
      <c r="J69" s="6" t="n">
        <f aca="false">D58/E58</f>
        <v>0.996236647592082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1.01559909959156</v>
      </c>
      <c r="I70" s="6" t="n">
        <f aca="false">((1-C11)/C16)/((1-D11)/D16)</f>
        <v>1.48908272778913</v>
      </c>
      <c r="J70" s="6" t="n">
        <f aca="false">((1-D11)/D16)/((1-E11)/E16)</f>
        <v>1.65113366476789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-0.0733222351093099</v>
      </c>
      <c r="I71" s="6" t="n">
        <f aca="false">((I13-I16-I17)-O24)/C16</f>
        <v>-0.0767413715061255</v>
      </c>
      <c r="J71" s="6" t="n">
        <f aca="false">((J13-J16-J17)-P24)/D16</f>
        <v>-0.0174680920999297</v>
      </c>
      <c r="K71" s="6" t="n">
        <f aca="false">((K13-K16-K17)-Q24)/E16</f>
        <v>-0.0316266758299284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-3.70060077142997</v>
      </c>
      <c r="I72" s="6" t="n">
        <f aca="false">-4.84 + 0.92 *I66  + 0.528 *I64 + 0.404 *I70 + 0.892 *I65 + 0.115 *I68 - 0.172 *I67- 0.327 *I69 + 4.697 *I71</f>
        <v>-2.48736724817217</v>
      </c>
      <c r="J72" s="6" t="n">
        <f aca="false">-4.84 + 0.92 *J66  + 0.528 *J64 + 0.404 *J70 + 0.892 *J65 + 0.115 *J68 - 0.172 *J67- 0.327 *J69 + 4.697 *J71</f>
        <v>-1.69782235917025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Good</v>
      </c>
      <c r="J73" s="6" t="str">
        <f aca="false">IF(J72&gt;-2.22,"CARE","Good")</f>
        <v>CARE</v>
      </c>
      <c r="M73" s="6"/>
    </row>
    <row r="74" customFormat="false" ht="15" hidden="false" customHeight="false" outlineLevel="0" collapsed="false">
      <c r="M74" s="6"/>
    </row>
    <row r="75" customFormat="false" ht="15" hidden="false" customHeight="false" outlineLevel="0" collapsed="false">
      <c r="M75" s="6"/>
    </row>
    <row r="76" customFormat="false" ht="15" hidden="false" customHeight="false" outlineLevel="0" collapsed="false"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0.0687116880419193</v>
      </c>
      <c r="I77" s="28" t="n">
        <f aca="false">(I15-I16)/$B$6</f>
        <v>0.0730037672853718</v>
      </c>
      <c r="J77" s="28" t="n">
        <f aca="false">(J15-J16)/$B$6</f>
        <v>0.0582550751536067</v>
      </c>
      <c r="K77" s="28" t="n">
        <f aca="false">(K15-K16)/$B$6</f>
        <v>0.066776748127229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N10:Q10 B10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1301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IFERROR(__xludf.dummyfunction("GoogleFinance(""TADAWUL:""&amp;B1,""eps"")"),"0.61")</f>
        <v>0.61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IFERROR(__xludf.dummyfunction("GoogleFinance(""TADAWUL:""&amp;B1,""marketcap"")/1000"),"682,695.02")</f>
        <v>682,695.02</v>
      </c>
      <c r="C5" s="6" t="n">
        <f aca="false">H11/1000/B7</f>
        <v>15.7269743589744</v>
      </c>
      <c r="D5" s="6" t="n">
        <f aca="false">100/C5</f>
        <v>6.35850213254379</v>
      </c>
      <c r="G5" s="6"/>
      <c r="M5" s="6"/>
    </row>
    <row r="6" customFormat="false" ht="15" hidden="false" customHeight="false" outlineLevel="0" collapsed="false">
      <c r="A6" s="2" t="s">
        <v>1</v>
      </c>
      <c r="C6" s="28" t="e">
        <f aca="false">H20/B6</f>
        <v>#DIV/0!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IFERROR(__xludf.dummyfunction("GoogleFinance(""TADAWUL:""&amp;B1,""shares"")/1000000"),"43.875")</f>
        <v>43.875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85" t="s">
        <v>3</v>
      </c>
      <c r="B10" s="73" t="n">
        <v>42735</v>
      </c>
      <c r="C10" s="73" t="n">
        <v>42369</v>
      </c>
      <c r="D10" s="73" t="n">
        <v>42004</v>
      </c>
      <c r="E10" s="73" t="n">
        <v>41639</v>
      </c>
      <c r="G10" s="85" t="s">
        <v>4</v>
      </c>
      <c r="H10" s="73" t="n">
        <v>42735</v>
      </c>
      <c r="I10" s="73" t="n">
        <v>42369</v>
      </c>
      <c r="J10" s="73" t="n">
        <v>42004</v>
      </c>
      <c r="K10" s="73" t="n">
        <v>41639</v>
      </c>
      <c r="M10" s="85" t="s">
        <v>5</v>
      </c>
      <c r="N10" s="73" t="n">
        <v>42735</v>
      </c>
      <c r="O10" s="73" t="n">
        <v>42369</v>
      </c>
      <c r="P10" s="73" t="n">
        <v>42004</v>
      </c>
      <c r="Q10" s="73" t="n">
        <v>41639</v>
      </c>
    </row>
    <row r="11" customFormat="false" ht="15" hidden="false" customHeight="false" outlineLevel="0" collapsed="false">
      <c r="A11" s="25" t="s">
        <v>6</v>
      </c>
      <c r="B11" s="56" t="n">
        <v>319672</v>
      </c>
      <c r="C11" s="56" t="n">
        <v>314712</v>
      </c>
      <c r="D11" s="56" t="n">
        <v>259511</v>
      </c>
      <c r="E11" s="56" t="n">
        <v>246669</v>
      </c>
      <c r="G11" s="25" t="s">
        <v>7</v>
      </c>
      <c r="H11" s="56" t="n">
        <v>690021</v>
      </c>
      <c r="I11" s="56" t="n">
        <v>903375</v>
      </c>
      <c r="J11" s="56" t="n">
        <v>952272</v>
      </c>
      <c r="K11" s="56" t="n">
        <v>1001320</v>
      </c>
      <c r="M11" s="25" t="s">
        <v>8</v>
      </c>
      <c r="N11" s="56" t="n">
        <v>81465</v>
      </c>
      <c r="O11" s="56" t="n">
        <v>72200</v>
      </c>
      <c r="P11" s="56" t="n">
        <v>90314</v>
      </c>
      <c r="Q11" s="56" t="n">
        <v>121323</v>
      </c>
    </row>
    <row r="12" customFormat="false" ht="15" hidden="false" customHeight="false" outlineLevel="0" collapsed="false">
      <c r="A12" s="25" t="s">
        <v>9</v>
      </c>
      <c r="B12" s="56" t="n">
        <v>109818</v>
      </c>
      <c r="C12" s="56" t="n">
        <v>95247</v>
      </c>
      <c r="D12" s="56" t="n">
        <v>153037</v>
      </c>
      <c r="E12" s="56" t="n">
        <v>139215</v>
      </c>
      <c r="G12" s="25" t="s">
        <v>10</v>
      </c>
      <c r="H12" s="56" t="n">
        <v>553431</v>
      </c>
      <c r="I12" s="56" t="n">
        <v>783058</v>
      </c>
      <c r="J12" s="56" t="n">
        <v>824119</v>
      </c>
      <c r="K12" s="56" t="n">
        <v>850697</v>
      </c>
      <c r="M12" s="25" t="s">
        <v>11</v>
      </c>
      <c r="N12" s="56" t="n">
        <v>16222</v>
      </c>
      <c r="O12" s="56" t="n">
        <v>17534</v>
      </c>
      <c r="P12" s="56" t="n">
        <v>17995</v>
      </c>
      <c r="Q12" s="56" t="n">
        <v>18376</v>
      </c>
    </row>
    <row r="13" customFormat="false" ht="15" hidden="false" customHeight="false" outlineLevel="0" collapsed="false">
      <c r="A13" s="25" t="s">
        <v>12</v>
      </c>
      <c r="B13" s="57"/>
      <c r="C13" s="57"/>
      <c r="D13" s="57"/>
      <c r="E13" s="57"/>
      <c r="G13" s="25" t="s">
        <v>13</v>
      </c>
      <c r="H13" s="56" t="n">
        <v>136590</v>
      </c>
      <c r="I13" s="56" t="n">
        <v>120317</v>
      </c>
      <c r="J13" s="56" t="n">
        <v>128153</v>
      </c>
      <c r="K13" s="56" t="n">
        <v>150623</v>
      </c>
      <c r="M13" s="25" t="s">
        <v>14</v>
      </c>
      <c r="N13" s="56" t="n">
        <v>41399</v>
      </c>
      <c r="O13" s="58" t="n">
        <v>-3326</v>
      </c>
      <c r="P13" s="56" t="n">
        <v>12488</v>
      </c>
      <c r="Q13" s="58" t="n">
        <v>-42928</v>
      </c>
    </row>
    <row r="14" customFormat="false" ht="15" hidden="false" customHeight="false" outlineLevel="0" collapsed="false">
      <c r="A14" s="25" t="s">
        <v>15</v>
      </c>
      <c r="B14" s="56" t="n">
        <v>151880</v>
      </c>
      <c r="C14" s="56" t="n">
        <v>160031</v>
      </c>
      <c r="D14" s="56" t="n">
        <v>163516</v>
      </c>
      <c r="E14" s="56" t="n">
        <v>131285</v>
      </c>
      <c r="G14" s="25" t="s">
        <v>16</v>
      </c>
      <c r="H14" s="56" t="n">
        <v>421</v>
      </c>
      <c r="I14" s="56" t="n">
        <v>1387</v>
      </c>
      <c r="J14" s="56" t="n">
        <v>2349</v>
      </c>
      <c r="K14" s="56" t="n">
        <v>1466</v>
      </c>
      <c r="M14" s="25" t="s">
        <v>9</v>
      </c>
      <c r="N14" s="58" t="n">
        <v>-14565</v>
      </c>
      <c r="O14" s="56" t="n">
        <v>58503</v>
      </c>
      <c r="P14" s="58" t="n">
        <v>-14493</v>
      </c>
      <c r="Q14" s="56" t="n">
        <v>11956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137011</v>
      </c>
      <c r="I15" s="56" t="n">
        <v>121704</v>
      </c>
      <c r="J15" s="56" t="n">
        <v>130502</v>
      </c>
      <c r="K15" s="56" t="n">
        <v>152089</v>
      </c>
      <c r="M15" s="25" t="s">
        <v>19</v>
      </c>
      <c r="N15" s="58" t="n">
        <v>-67</v>
      </c>
      <c r="O15" s="56" t="n">
        <v>6360</v>
      </c>
      <c r="P15" s="58" t="n">
        <v>-3963</v>
      </c>
      <c r="Q15" s="56" t="n">
        <v>2320</v>
      </c>
    </row>
    <row r="16" customFormat="false" ht="15" hidden="false" customHeight="false" outlineLevel="0" collapsed="false">
      <c r="A16" s="25" t="s">
        <v>20</v>
      </c>
      <c r="B16" s="56" t="n">
        <v>581370</v>
      </c>
      <c r="C16" s="56" t="n">
        <v>569990</v>
      </c>
      <c r="D16" s="56" t="n">
        <v>576064</v>
      </c>
      <c r="E16" s="56" t="n">
        <v>517169</v>
      </c>
      <c r="G16" s="25" t="s">
        <v>21</v>
      </c>
      <c r="H16" s="56" t="n">
        <v>42038</v>
      </c>
      <c r="I16" s="56" t="n">
        <v>35399</v>
      </c>
      <c r="J16" s="56" t="n">
        <v>31800</v>
      </c>
      <c r="K16" s="56" t="n">
        <v>28961</v>
      </c>
      <c r="M16" s="25" t="s">
        <v>22</v>
      </c>
      <c r="N16" s="56" t="n">
        <v>961</v>
      </c>
      <c r="O16" s="58" t="n">
        <v>-18800</v>
      </c>
      <c r="P16" s="56" t="n">
        <v>25734</v>
      </c>
      <c r="Q16" s="56" t="n">
        <v>20910</v>
      </c>
    </row>
    <row r="17" customFormat="false" ht="15" hidden="false" customHeight="false" outlineLevel="0" collapsed="false">
      <c r="A17" s="25" t="s">
        <v>23</v>
      </c>
      <c r="B17" s="56" t="n">
        <v>47746</v>
      </c>
      <c r="C17" s="56" t="n">
        <v>46483</v>
      </c>
      <c r="D17" s="56" t="n">
        <v>67928</v>
      </c>
      <c r="E17" s="56" t="n">
        <v>40957</v>
      </c>
      <c r="G17" s="25" t="s">
        <v>11</v>
      </c>
      <c r="H17" s="56" t="n">
        <v>2611</v>
      </c>
      <c r="I17" s="56" t="n">
        <v>3293</v>
      </c>
      <c r="J17" s="56" t="n">
        <v>3118</v>
      </c>
      <c r="K17" s="56" t="n">
        <v>1806</v>
      </c>
      <c r="M17" s="25" t="s">
        <v>24</v>
      </c>
      <c r="N17" s="56" t="n">
        <v>4057</v>
      </c>
      <c r="O17" s="58" t="n">
        <v>-2083</v>
      </c>
      <c r="P17" s="58" t="n">
        <v>-2335</v>
      </c>
      <c r="Q17" s="58" t="n">
        <v>-8925</v>
      </c>
    </row>
    <row r="18" customFormat="false" ht="15" hidden="false" customHeight="false" outlineLevel="0" collapsed="false">
      <c r="A18" s="25" t="s">
        <v>25</v>
      </c>
      <c r="B18" s="56" t="n">
        <v>7383</v>
      </c>
      <c r="C18" s="56" t="n">
        <v>6337</v>
      </c>
      <c r="D18" s="56" t="n">
        <v>4881</v>
      </c>
      <c r="E18" s="56" t="n">
        <v>3253</v>
      </c>
      <c r="G18" s="25" t="s">
        <v>26</v>
      </c>
      <c r="H18" s="57"/>
      <c r="I18" s="57"/>
      <c r="J18" s="57"/>
      <c r="K18" s="57"/>
      <c r="M18" s="25" t="s">
        <v>27</v>
      </c>
      <c r="N18" s="58" t="n">
        <v>-8931</v>
      </c>
      <c r="O18" s="58" t="n">
        <v>-13162</v>
      </c>
      <c r="P18" s="58" t="n">
        <v>-50225</v>
      </c>
      <c r="Q18" s="58" t="n">
        <v>-32094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44649</v>
      </c>
      <c r="I19" s="56" t="n">
        <v>38692</v>
      </c>
      <c r="J19" s="56" t="n">
        <v>34918</v>
      </c>
      <c r="K19" s="56" t="n">
        <v>30767</v>
      </c>
      <c r="M19" s="25" t="s">
        <v>30</v>
      </c>
      <c r="N19" s="56" t="n">
        <v>125</v>
      </c>
      <c r="O19" s="56" t="n">
        <v>30</v>
      </c>
      <c r="P19" s="56" t="n">
        <v>120</v>
      </c>
      <c r="Q19" s="56" t="n">
        <v>640</v>
      </c>
    </row>
    <row r="20" customFormat="false" ht="15" hidden="false" customHeight="false" outlineLevel="0" collapsed="false">
      <c r="A20" s="25" t="s">
        <v>31</v>
      </c>
      <c r="B20" s="56" t="n">
        <v>526241</v>
      </c>
      <c r="C20" s="56" t="n">
        <v>517170</v>
      </c>
      <c r="D20" s="56" t="n">
        <v>503255</v>
      </c>
      <c r="E20" s="56" t="n">
        <v>472959</v>
      </c>
      <c r="G20" s="25" t="s">
        <v>32</v>
      </c>
      <c r="H20" s="56" t="n">
        <v>92362</v>
      </c>
      <c r="I20" s="56" t="n">
        <v>83012</v>
      </c>
      <c r="J20" s="56" t="n">
        <v>95584</v>
      </c>
      <c r="K20" s="56" t="n">
        <v>121322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10898</v>
      </c>
      <c r="I21" s="56" t="n">
        <v>10811</v>
      </c>
      <c r="J21" s="56" t="n">
        <v>5270</v>
      </c>
      <c r="K21" s="56" t="n">
        <v>11189</v>
      </c>
      <c r="M21" s="25" t="s">
        <v>36</v>
      </c>
      <c r="N21" s="58" t="n">
        <v>-72394</v>
      </c>
      <c r="O21" s="58" t="n">
        <v>-57038</v>
      </c>
      <c r="P21" s="58" t="n">
        <v>-54844</v>
      </c>
      <c r="Q21" s="58" t="n">
        <v>-48750</v>
      </c>
    </row>
    <row r="22" customFormat="false" ht="15" hidden="false" customHeight="false" outlineLevel="0" collapsed="false">
      <c r="A22" s="25" t="s">
        <v>37</v>
      </c>
      <c r="B22" s="56" t="n">
        <v>581370</v>
      </c>
      <c r="C22" s="56" t="n">
        <v>569990</v>
      </c>
      <c r="D22" s="56" t="n">
        <v>576064</v>
      </c>
      <c r="E22" s="56" t="n">
        <v>517169</v>
      </c>
      <c r="G22" s="25" t="s">
        <v>8</v>
      </c>
      <c r="H22" s="56" t="n">
        <v>81464</v>
      </c>
      <c r="I22" s="56" t="n">
        <v>72201</v>
      </c>
      <c r="J22" s="56" t="n">
        <v>90314</v>
      </c>
      <c r="K22" s="56" t="n">
        <v>110133</v>
      </c>
      <c r="M22" s="25" t="s">
        <v>38</v>
      </c>
      <c r="N22" s="56" t="n">
        <v>184808</v>
      </c>
      <c r="O22" s="56" t="n">
        <v>124590</v>
      </c>
      <c r="P22" s="56" t="n">
        <v>103799</v>
      </c>
      <c r="Q22" s="56" t="n">
        <v>60970</v>
      </c>
    </row>
    <row r="23" customFormat="false" ht="15" hidden="false" customHeight="false" outlineLevel="0" collapsed="false">
      <c r="A23" s="6"/>
      <c r="B23" s="4" t="n">
        <f aca="false">B11+B12</f>
        <v>429490</v>
      </c>
      <c r="C23" s="4" t="n">
        <f aca="false">C11+C12</f>
        <v>409959</v>
      </c>
      <c r="D23" s="4" t="n">
        <f aca="false">D11+D12</f>
        <v>412548</v>
      </c>
      <c r="E23" s="4" t="n">
        <f aca="false">E11+E12</f>
        <v>385884</v>
      </c>
      <c r="G23" s="25" t="s">
        <v>39</v>
      </c>
      <c r="H23" s="56" t="n">
        <v>28638</v>
      </c>
      <c r="I23" s="56" t="n">
        <v>21943</v>
      </c>
      <c r="J23" s="56" t="n">
        <v>49428</v>
      </c>
      <c r="K23" s="56" t="n">
        <v>60450</v>
      </c>
      <c r="M23" s="25" t="s">
        <v>40</v>
      </c>
      <c r="N23" s="56" t="n">
        <v>233080</v>
      </c>
      <c r="O23" s="56" t="n">
        <v>184808</v>
      </c>
      <c r="P23" s="56" t="n">
        <v>124590</v>
      </c>
      <c r="Q23" s="56" t="n">
        <v>103798</v>
      </c>
    </row>
    <row r="24" customFormat="false" ht="15" hidden="false" customHeight="false" outlineLevel="0" collapsed="false">
      <c r="A24" s="6"/>
      <c r="B24" s="6" t="n">
        <f aca="false">B16/(B22-B20)</f>
        <v>10.5456293420886</v>
      </c>
      <c r="C24" s="6" t="n">
        <f aca="false">C16/(C22-C20)</f>
        <v>10.7911775842484</v>
      </c>
      <c r="D24" s="6" t="n">
        <f aca="false">D16/(D22-D20)</f>
        <v>7.91198890247085</v>
      </c>
      <c r="E24" s="6" t="n">
        <f aca="false">E16/(E22-E20)</f>
        <v>11.6980095001131</v>
      </c>
      <c r="G24" s="25" t="s">
        <v>41</v>
      </c>
      <c r="H24" s="56" t="n">
        <v>8146</v>
      </c>
      <c r="I24" s="56" t="n">
        <v>7220</v>
      </c>
      <c r="J24" s="56" t="n">
        <v>9031</v>
      </c>
      <c r="K24" s="56" t="n">
        <v>12132</v>
      </c>
      <c r="M24" s="2" t="s">
        <v>42</v>
      </c>
      <c r="N24" s="12" t="n">
        <f aca="false">SUM(N11:N17)</f>
        <v>129472</v>
      </c>
      <c r="O24" s="12" t="n">
        <f aca="false">SUM(O11:O17)</f>
        <v>130388</v>
      </c>
      <c r="P24" s="12" t="n">
        <f aca="false">SUM(P11:P17)</f>
        <v>125740</v>
      </c>
      <c r="Q24" s="12" t="n">
        <f aca="false">SUM(Q11:Q17)</f>
        <v>123032</v>
      </c>
    </row>
    <row r="25" customFormat="false" ht="15" hidden="false" customHeight="false" outlineLevel="0" collapsed="false">
      <c r="A25" s="6"/>
      <c r="B25" s="6" t="n">
        <f aca="false">B24/B5*1000</f>
        <v>0.0154470576657913</v>
      </c>
      <c r="G25" s="25" t="s">
        <v>43</v>
      </c>
      <c r="H25" s="56" t="n">
        <v>72394</v>
      </c>
      <c r="I25" s="56" t="n">
        <v>57038</v>
      </c>
      <c r="J25" s="56" t="n">
        <v>54844</v>
      </c>
      <c r="K25" s="56" t="n">
        <v>48750</v>
      </c>
      <c r="M25" s="2" t="s">
        <v>44</v>
      </c>
      <c r="N25" s="12" t="n">
        <f aca="false">N18+N19</f>
        <v>-8806</v>
      </c>
      <c r="O25" s="12" t="n">
        <f aca="false">O18+O19</f>
        <v>-13132</v>
      </c>
      <c r="P25" s="12" t="n">
        <f aca="false">P18+P19</f>
        <v>-50105</v>
      </c>
      <c r="Q25" s="12" t="n">
        <f aca="false">Q18+Q19</f>
        <v>-31454</v>
      </c>
    </row>
    <row r="26" customFormat="false" ht="15" hidden="false" customHeight="false" outlineLevel="0" collapsed="false">
      <c r="A26" s="6"/>
      <c r="B26" s="4" t="n">
        <f aca="false">B23-B17</f>
        <v>381744</v>
      </c>
      <c r="C26" s="4" t="n">
        <f aca="false">C23-C17</f>
        <v>363476</v>
      </c>
      <c r="G26" s="25" t="s">
        <v>45</v>
      </c>
      <c r="H26" s="57"/>
      <c r="I26" s="56" t="n">
        <v>1248</v>
      </c>
      <c r="J26" s="56" t="n">
        <v>53924</v>
      </c>
      <c r="K26" s="56" t="n">
        <v>60273</v>
      </c>
      <c r="M26" s="2" t="s">
        <v>46</v>
      </c>
      <c r="N26" s="12" t="n">
        <f aca="false">N20+N21</f>
        <v>-72394</v>
      </c>
      <c r="O26" s="12" t="n">
        <f aca="false">O20+O21</f>
        <v>-57038</v>
      </c>
      <c r="P26" s="12" t="n">
        <f aca="false">P20+P21</f>
        <v>-54844</v>
      </c>
      <c r="Q26" s="12" t="n">
        <f aca="false">Q20+Q21</f>
        <v>-48750</v>
      </c>
    </row>
    <row r="27" customFormat="false" ht="15" hidden="false" customHeight="false" outlineLevel="0" collapsed="false">
      <c r="A27" s="6"/>
      <c r="B27" s="6" t="n">
        <f aca="false">B22/90000</f>
        <v>6.45966666666667</v>
      </c>
      <c r="F27" s="6" t="n">
        <f aca="false">H20*0.025</f>
        <v>2309.05</v>
      </c>
      <c r="G27" s="25" t="s">
        <v>47</v>
      </c>
      <c r="H27" s="56" t="n">
        <v>29562</v>
      </c>
      <c r="I27" s="56" t="n">
        <v>28638</v>
      </c>
      <c r="J27" s="56" t="n">
        <v>21943</v>
      </c>
      <c r="K27" s="56" t="n">
        <v>49428</v>
      </c>
      <c r="M27" s="2" t="s">
        <v>115</v>
      </c>
      <c r="N27" s="12" t="n">
        <f aca="false">N24+N18</f>
        <v>120541</v>
      </c>
      <c r="O27" s="12" t="n">
        <f aca="false">O24+O18</f>
        <v>117226</v>
      </c>
      <c r="P27" s="12" t="n">
        <f aca="false">P24+P18</f>
        <v>75515</v>
      </c>
      <c r="Q27" s="12" t="n">
        <f aca="false">Q24+Q18</f>
        <v>90938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-3697</v>
      </c>
      <c r="O28" s="12" t="n">
        <f aca="false">(D11-C11)+(C17-D17)</f>
        <v>-76646</v>
      </c>
      <c r="P28" s="12" t="n">
        <f aca="false">(E11-D11)+(D17-E17)</f>
        <v>14129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0.549859813887885</v>
      </c>
      <c r="C30" s="24" t="n">
        <f aca="false">C11/C$16</f>
        <v>0.552136002386007</v>
      </c>
      <c r="D30" s="24" t="n">
        <f aca="false">D11/D$16</f>
        <v>0.450489876124875</v>
      </c>
      <c r="E30" s="24" t="n">
        <f aca="false">E11/E$16</f>
        <v>0.476960142622624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0.118061624211437</v>
      </c>
      <c r="O30" s="26" t="n">
        <f aca="false">O11/I$11</f>
        <v>0.0799225127992251</v>
      </c>
      <c r="P30" s="26" t="n">
        <f aca="false">P11/J$11</f>
        <v>0.0948405497588924</v>
      </c>
      <c r="Q30" s="26" t="n">
        <f aca="false">Q11/K$11</f>
        <v>0.121163064754524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0.188895195830538</v>
      </c>
      <c r="C31" s="24" t="n">
        <f aca="false">C12/C$16</f>
        <v>0.167102931630379</v>
      </c>
      <c r="D31" s="24" t="n">
        <f aca="false">D12/D$16</f>
        <v>0.265659718364626</v>
      </c>
      <c r="E31" s="24" t="n">
        <f aca="false">E12/E$16</f>
        <v>0.269186668187768</v>
      </c>
      <c r="F31" s="6"/>
      <c r="G31" s="25" t="s">
        <v>10</v>
      </c>
      <c r="H31" s="24" t="n">
        <f aca="false">H12/H$11</f>
        <v>0.802049502841218</v>
      </c>
      <c r="I31" s="24" t="n">
        <f aca="false">I12/I$11</f>
        <v>0.866813892348139</v>
      </c>
      <c r="J31" s="24" t="n">
        <f aca="false">J12/J$11</f>
        <v>0.865423954500395</v>
      </c>
      <c r="K31" s="24" t="n">
        <f aca="false">K12/K$11</f>
        <v>0.849575560260456</v>
      </c>
      <c r="L31" s="6"/>
      <c r="M31" s="25" t="s">
        <v>11</v>
      </c>
      <c r="N31" s="26" t="n">
        <f aca="false">N12/H$11</f>
        <v>0.0235094294231625</v>
      </c>
      <c r="O31" s="26" t="n">
        <f aca="false">O12/I$11</f>
        <v>0.0194094368340944</v>
      </c>
      <c r="P31" s="26" t="n">
        <f aca="false">P12/J$11</f>
        <v>0.0188969118067107</v>
      </c>
      <c r="Q31" s="26" t="n">
        <f aca="false">Q12/K$11</f>
        <v>0.0183517756561339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0.197950497158782</v>
      </c>
      <c r="I32" s="24" t="n">
        <f aca="false">I13/I$11</f>
        <v>0.133186107651861</v>
      </c>
      <c r="J32" s="24" t="n">
        <f aca="false">J13/J$11</f>
        <v>0.134576045499605</v>
      </c>
      <c r="K32" s="24" t="n">
        <f aca="false">K13/K$11</f>
        <v>0.150424439739544</v>
      </c>
      <c r="L32" s="6"/>
      <c r="M32" s="25" t="s">
        <v>14</v>
      </c>
      <c r="N32" s="26" t="n">
        <f aca="false">N13/H$11</f>
        <v>0.0599967247373631</v>
      </c>
      <c r="O32" s="26" t="n">
        <f aca="false">O13/I$11</f>
        <v>-0.00368174899681749</v>
      </c>
      <c r="P32" s="26" t="n">
        <f aca="false">P13/J$11</f>
        <v>0.0131139002301863</v>
      </c>
      <c r="Q32" s="26" t="n">
        <f aca="false">Q13/K$11</f>
        <v>-0.0428714097391443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0.261244990281576</v>
      </c>
      <c r="C33" s="24" t="n">
        <f aca="false">C14/C$16</f>
        <v>0.280761065983614</v>
      </c>
      <c r="D33" s="24" t="n">
        <f aca="false">D14/D$16</f>
        <v>0.283850405510499</v>
      </c>
      <c r="E33" s="24" t="n">
        <f aca="false">E14/E$16</f>
        <v>0.253853189189607</v>
      </c>
      <c r="F33" s="6"/>
      <c r="G33" s="25" t="s">
        <v>16</v>
      </c>
      <c r="H33" s="24" t="n">
        <f aca="false">H14/H$11</f>
        <v>0.000610126358473148</v>
      </c>
      <c r="I33" s="24" t="n">
        <f aca="false">I14/I$11</f>
        <v>0.00153535353535354</v>
      </c>
      <c r="J33" s="24" t="n">
        <f aca="false">J14/J$11</f>
        <v>0.00246673219416301</v>
      </c>
      <c r="K33" s="24" t="n">
        <f aca="false">K14/K$11</f>
        <v>0.00146406743099109</v>
      </c>
      <c r="L33" s="6"/>
      <c r="M33" s="25" t="s">
        <v>9</v>
      </c>
      <c r="N33" s="26" t="n">
        <f aca="false">N14/H$11</f>
        <v>-0.0211080532331625</v>
      </c>
      <c r="O33" s="26" t="n">
        <f aca="false">O14/I$11</f>
        <v>0.0647604815276048</v>
      </c>
      <c r="P33" s="26" t="n">
        <f aca="false">P14/J$11</f>
        <v>-0.0152193910983417</v>
      </c>
      <c r="Q33" s="26" t="n">
        <f aca="false">Q14/K$11</f>
        <v>0.0119402388846722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0.198560623517255</v>
      </c>
      <c r="I34" s="24" t="n">
        <f aca="false">I15/I$11</f>
        <v>0.134721461187215</v>
      </c>
      <c r="J34" s="24" t="n">
        <f aca="false">J15/J$11</f>
        <v>0.137042777693768</v>
      </c>
      <c r="K34" s="24" t="n">
        <f aca="false">K15/K$11</f>
        <v>0.151888507170535</v>
      </c>
      <c r="L34" s="6"/>
      <c r="M34" s="25" t="s">
        <v>19</v>
      </c>
      <c r="N34" s="26" t="n">
        <f aca="false">N15/H$11</f>
        <v>-9.70984941038026E-005</v>
      </c>
      <c r="O34" s="26" t="n">
        <f aca="false">O15/I$11</f>
        <v>0.00704026567040266</v>
      </c>
      <c r="P34" s="26" t="n">
        <f aca="false">P15/J$11</f>
        <v>-0.0041616260900247</v>
      </c>
      <c r="Q34" s="26" t="n">
        <f aca="false">Q15/K$11</f>
        <v>0.00231694163703911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0.0609227835094874</v>
      </c>
      <c r="I35" s="24" t="n">
        <f aca="false">I16/I$11</f>
        <v>0.0391852774318528</v>
      </c>
      <c r="J35" s="24" t="n">
        <f aca="false">J16/J$11</f>
        <v>0.0333938202530369</v>
      </c>
      <c r="K35" s="24" t="n">
        <f aca="false">K16/K$11</f>
        <v>0.0289228218751248</v>
      </c>
      <c r="L35" s="6"/>
      <c r="M35" s="25" t="s">
        <v>22</v>
      </c>
      <c r="N35" s="26" t="n">
        <f aca="false">N16/H$11</f>
        <v>0.00139271123632469</v>
      </c>
      <c r="O35" s="26" t="n">
        <f aca="false">O16/I$11</f>
        <v>-0.0208108482081085</v>
      </c>
      <c r="P35" s="26" t="n">
        <f aca="false">P16/J$11</f>
        <v>0.0270237915217501</v>
      </c>
      <c r="Q35" s="26" t="n">
        <f aca="false">Q16/K$11</f>
        <v>0.0208824351855551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0.0821267007241516</v>
      </c>
      <c r="C36" s="24" t="n">
        <f aca="false">C17/C$16</f>
        <v>0.0815505535184828</v>
      </c>
      <c r="D36" s="24" t="n">
        <f aca="false">D17/D$16</f>
        <v>0.117917453616265</v>
      </c>
      <c r="E36" s="24" t="n">
        <f aca="false">E17/E$16</f>
        <v>0.0791946152998343</v>
      </c>
      <c r="F36" s="6"/>
      <c r="G36" s="25" t="s">
        <v>11</v>
      </c>
      <c r="H36" s="24" t="n">
        <f aca="false">H17/H$11</f>
        <v>0.00378394280753774</v>
      </c>
      <c r="I36" s="24" t="n">
        <f aca="false">I17/I$11</f>
        <v>0.00364521931645219</v>
      </c>
      <c r="J36" s="24" t="n">
        <f aca="false">J17/J$11</f>
        <v>0.00327427457701161</v>
      </c>
      <c r="K36" s="24" t="n">
        <f aca="false">K17/K$11</f>
        <v>0.00180361922262613</v>
      </c>
      <c r="L36" s="6"/>
      <c r="M36" s="25" t="s">
        <v>24</v>
      </c>
      <c r="N36" s="26" t="n">
        <f aca="false">N17/H$11</f>
        <v>0.00587953120267354</v>
      </c>
      <c r="O36" s="26" t="n">
        <f aca="false">O17/I$11</f>
        <v>-0.00230579770305798</v>
      </c>
      <c r="P36" s="26" t="n">
        <f aca="false">P17/J$11</f>
        <v>-0.00245203051229061</v>
      </c>
      <c r="Q36" s="26" t="n">
        <f aca="false">Q17/K$11</f>
        <v>-0.00891323453041985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0.0126993136900769</v>
      </c>
      <c r="C37" s="24" t="n">
        <f aca="false">C18/C$16</f>
        <v>0.0111177389077001</v>
      </c>
      <c r="D37" s="24" t="n">
        <f aca="false">D18/D$16</f>
        <v>0.00847301688701255</v>
      </c>
      <c r="E37" s="24" t="n">
        <f aca="false">E18/E$16</f>
        <v>0.00629001351589132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-0.0129430843409114</v>
      </c>
      <c r="O37" s="26" t="n">
        <f aca="false">O18/I$11</f>
        <v>-0.0145698076656981</v>
      </c>
      <c r="P37" s="26" t="n">
        <f aca="false">P18/J$11</f>
        <v>-0.0527422837172573</v>
      </c>
      <c r="Q37" s="26" t="n">
        <f aca="false">Q18/K$11</f>
        <v>-0.0320516917668677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0.0647067263170251</v>
      </c>
      <c r="I38" s="24" t="n">
        <f aca="false">I19/I$11</f>
        <v>0.042830496748305</v>
      </c>
      <c r="J38" s="24" t="n">
        <f aca="false">J19/J$11</f>
        <v>0.0366680948300486</v>
      </c>
      <c r="K38" s="24" t="n">
        <f aca="false">K19/K$11</f>
        <v>0.030726441097751</v>
      </c>
      <c r="L38" s="6"/>
      <c r="M38" s="25" t="s">
        <v>30</v>
      </c>
      <c r="N38" s="26" t="n">
        <f aca="false">N19/H$11</f>
        <v>0.00018115390691008</v>
      </c>
      <c r="O38" s="26" t="n">
        <f aca="false">O19/I$11</f>
        <v>3.3208800332088E-005</v>
      </c>
      <c r="P38" s="26" t="n">
        <f aca="false">P19/J$11</f>
        <v>0.000126014416049196</v>
      </c>
      <c r="Q38" s="26" t="n">
        <f aca="false">Q19/K$11</f>
        <v>0.000639156313665961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0.905173985585772</v>
      </c>
      <c r="C39" s="24" t="n">
        <f aca="false">C20/C$16</f>
        <v>0.907331707573817</v>
      </c>
      <c r="D39" s="24" t="n">
        <f aca="false">D20/D$16</f>
        <v>0.873609529496722</v>
      </c>
      <c r="E39" s="24" t="n">
        <f aca="false">E20/E$16</f>
        <v>0.914515371184274</v>
      </c>
      <c r="F39" s="6"/>
      <c r="G39" s="25" t="s">
        <v>32</v>
      </c>
      <c r="H39" s="24" t="n">
        <f aca="false">H20/H$11</f>
        <v>0.13385389720023</v>
      </c>
      <c r="I39" s="24" t="n">
        <f aca="false">I20/I$11</f>
        <v>0.0918909644389096</v>
      </c>
      <c r="J39" s="24" t="n">
        <f aca="false">J20/J$11</f>
        <v>0.10037468286372</v>
      </c>
      <c r="K39" s="24" t="n">
        <f aca="false">K20/K$11</f>
        <v>0.121162066072784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0.0157937222200484</v>
      </c>
      <c r="I40" s="24" t="n">
        <f aca="false">I21/I$11</f>
        <v>0.0119673446796734</v>
      </c>
      <c r="J40" s="24" t="n">
        <f aca="false">J21/J$11</f>
        <v>0.00553413310482719</v>
      </c>
      <c r="K40" s="24" t="n">
        <f aca="false">K21/K$11</f>
        <v>0.0111742499900132</v>
      </c>
      <c r="L40" s="6"/>
      <c r="M40" s="25" t="s">
        <v>36</v>
      </c>
      <c r="N40" s="26" t="n">
        <f aca="false">N21/H$11</f>
        <v>-0.104915647494786</v>
      </c>
      <c r="O40" s="26" t="n">
        <f aca="false">O21/I$11</f>
        <v>-0.0631387851113878</v>
      </c>
      <c r="P40" s="26" t="n">
        <f aca="false">P21/J$11</f>
        <v>-0.0575927886150176</v>
      </c>
      <c r="Q40" s="26" t="n">
        <f aca="false">Q21/K$11</f>
        <v>-0.0486857348300244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0.118060174980182</v>
      </c>
      <c r="I41" s="24" t="n">
        <f aca="false">I22/I$11</f>
        <v>0.0799236197592362</v>
      </c>
      <c r="J41" s="24" t="n">
        <f aca="false">J22/J$11</f>
        <v>0.0948405497588924</v>
      </c>
      <c r="K41" s="24" t="n">
        <f aca="false">K22/K$11</f>
        <v>0.109987816082771</v>
      </c>
      <c r="L41" s="6"/>
      <c r="M41" s="25" t="s">
        <v>38</v>
      </c>
      <c r="N41" s="26" t="n">
        <f aca="false">N22/H$11</f>
        <v>0.267829529825904</v>
      </c>
      <c r="O41" s="26" t="n">
        <f aca="false">O22/I$11</f>
        <v>0.137916147779161</v>
      </c>
      <c r="P41" s="26" t="n">
        <f aca="false">P22/J$11</f>
        <v>0.109001419762421</v>
      </c>
      <c r="Q41" s="26" t="n">
        <f aca="false">Q22/K$11</f>
        <v>0.0608896256940838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0.0415030846887269</v>
      </c>
      <c r="I42" s="24" t="n">
        <f aca="false">I23/I$11</f>
        <v>0.0242900235229002</v>
      </c>
      <c r="J42" s="24" t="n">
        <f aca="false">J23/J$11</f>
        <v>0.0519053379706638</v>
      </c>
      <c r="K42" s="24" t="n">
        <f aca="false">K23/K$11</f>
        <v>0.0603703111892302</v>
      </c>
      <c r="L42" s="6"/>
      <c r="M42" s="25" t="s">
        <v>40</v>
      </c>
      <c r="N42" s="26" t="n">
        <f aca="false">N23/H$11</f>
        <v>0.337786820980811</v>
      </c>
      <c r="O42" s="26" t="n">
        <f aca="false">O23/I$11</f>
        <v>0.204575065725751</v>
      </c>
      <c r="P42" s="26" t="n">
        <f aca="false">P23/J$11</f>
        <v>0.130834467463078</v>
      </c>
      <c r="Q42" s="26" t="n">
        <f aca="false">Q23/K$11</f>
        <v>0.103661167259218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0.0118054378055161</v>
      </c>
      <c r="I43" s="24" t="n">
        <f aca="false">I24/I$11</f>
        <v>0.00799225127992251</v>
      </c>
      <c r="J43" s="24" t="n">
        <f aca="false">J24/J$11</f>
        <v>0.00948363492783574</v>
      </c>
      <c r="K43" s="24" t="n">
        <f aca="false">K24/K$11</f>
        <v>0.0121160068709304</v>
      </c>
      <c r="L43" s="6"/>
      <c r="M43" s="2" t="s">
        <v>49</v>
      </c>
      <c r="N43" s="26" t="n">
        <f aca="false">N24/H11</f>
        <v>0.187634869083695</v>
      </c>
      <c r="O43" s="26" t="n">
        <f aca="false">O24/I11</f>
        <v>0.144334301923343</v>
      </c>
      <c r="P43" s="26" t="n">
        <f aca="false">P24/J11</f>
        <v>0.132042105616883</v>
      </c>
      <c r="Q43" s="26" t="n">
        <f aca="false">Q24/K11</f>
        <v>0.12286981184836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0.104915647494786</v>
      </c>
      <c r="I44" s="24" t="n">
        <f aca="false">I25/I$11</f>
        <v>0.0631387851113878</v>
      </c>
      <c r="J44" s="24" t="n">
        <f aca="false">J25/J$11</f>
        <v>0.0575927886150176</v>
      </c>
      <c r="K44" s="24" t="n">
        <f aca="false">K25/K$11</f>
        <v>0.0486857348300244</v>
      </c>
      <c r="L44" s="6"/>
      <c r="M44" s="2" t="s">
        <v>50</v>
      </c>
      <c r="N44" s="26" t="n">
        <f aca="false">N24/B16</f>
        <v>0.222701549787571</v>
      </c>
      <c r="O44" s="26" t="n">
        <f aca="false">O24/C16</f>
        <v>0.228754890436674</v>
      </c>
      <c r="P44" s="26" t="n">
        <f aca="false">P24/D16</f>
        <v>0.218274358404622</v>
      </c>
      <c r="Q44" s="26" t="n">
        <f aca="false">Q24/E16</f>
        <v>0.237895156128848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0.00138148609381486</v>
      </c>
      <c r="J45" s="24" t="n">
        <f aca="false">J26/J$11</f>
        <v>0.0566266780919737</v>
      </c>
      <c r="K45" s="24" t="n">
        <f aca="false">K26/K$11</f>
        <v>0.060193544521232</v>
      </c>
      <c r="L45" s="6"/>
      <c r="M45" s="2" t="s">
        <v>51</v>
      </c>
      <c r="N45" s="26" t="n">
        <f aca="false">N24/B20</f>
        <v>0.246031761113254</v>
      </c>
      <c r="O45" s="26" t="n">
        <f aca="false">O24/C20</f>
        <v>0.252118258986407</v>
      </c>
      <c r="P45" s="26" t="n">
        <f aca="false">P24/D20</f>
        <v>0.249853454014367</v>
      </c>
      <c r="Q45" s="26" t="n">
        <f aca="false">Q24/E20</f>
        <v>0.260132485056844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0.0428421743686062</v>
      </c>
      <c r="I46" s="24" t="n">
        <f aca="false">I27/I$11</f>
        <v>0.0317011207970112</v>
      </c>
      <c r="J46" s="24" t="n">
        <f aca="false">J27/J$11</f>
        <v>0.0230427860947292</v>
      </c>
      <c r="K46" s="24" t="n">
        <f aca="false">K27/K$11</f>
        <v>0.0493628410498143</v>
      </c>
      <c r="L46" s="6"/>
      <c r="M46" s="2" t="s">
        <v>52</v>
      </c>
      <c r="N46" s="26" t="n">
        <f aca="false">N24/H22</f>
        <v>1.58931552587646</v>
      </c>
      <c r="O46" s="26" t="n">
        <f aca="false">O24/I22</f>
        <v>1.80590296533289</v>
      </c>
      <c r="P46" s="26" t="n">
        <f aca="false">P24/J22</f>
        <v>1.39225369267223</v>
      </c>
      <c r="Q46" s="26" t="n">
        <f aca="false">Q24/K22</f>
        <v>1.11712202518773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2.3485279979684</v>
      </c>
      <c r="O47" s="26" t="n">
        <f aca="false">O24/(C22-C20)</f>
        <v>2.46853464596744</v>
      </c>
      <c r="P47" s="26" t="n">
        <f aca="false">P24/(D22-D20)</f>
        <v>1.72698430139131</v>
      </c>
      <c r="Q47" s="26" t="n">
        <f aca="false">Q24/(E22-E20)</f>
        <v>2.78289979642615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1.78843550570489</v>
      </c>
      <c r="O48" s="26" t="n">
        <f aca="false">O24/I25</f>
        <v>2.28598478207511</v>
      </c>
      <c r="P48" s="26" t="n">
        <f aca="false">P24/J25</f>
        <v>2.29268470571074</v>
      </c>
      <c r="Q48" s="26" t="n">
        <f aca="false">Q24/K25</f>
        <v>2.52373333333333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14.4969208375322</v>
      </c>
      <c r="O49" s="26" t="n">
        <f aca="false">O24/(O18*-1)</f>
        <v>9.90639720407233</v>
      </c>
      <c r="P49" s="26" t="n">
        <f aca="false">P24/(P18*-1)</f>
        <v>2.50353409656546</v>
      </c>
      <c r="Q49" s="26" t="n">
        <f aca="false">Q24/(Q18*-1)</f>
        <v>3.83348912569328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0.120707308650987</v>
      </c>
      <c r="I50" s="28" t="n">
        <f aca="false">LN(I15/J15)</f>
        <v>-0.0697966851549817</v>
      </c>
      <c r="J50" s="28" t="n">
        <f aca="false">LN(J22/K22)</f>
        <v>-0.198396239174387</v>
      </c>
      <c r="M50" s="2" t="s">
        <v>117</v>
      </c>
      <c r="N50" s="32" t="e">
        <f aca="false">(H15-H16-N28-N25)/($B$6)</f>
        <v>#DIV/0!</v>
      </c>
      <c r="O50" s="32" t="e">
        <f aca="false">(I15-I16-O28-O25)/($B$6)</f>
        <v>#DIV/0!</v>
      </c>
      <c r="P50" s="32" t="e">
        <f aca="false">(J15-J16-P28-P25)/($B$6)</f>
        <v>#DIV/0!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8.99530850751895</v>
      </c>
      <c r="C51" s="30" t="n">
        <f aca="false">C23/C17</f>
        <v>8.81954693113612</v>
      </c>
      <c r="D51" s="30" t="n">
        <f aca="false">D23/D17</f>
        <v>6.07331291956189</v>
      </c>
      <c r="E51" s="30" t="n">
        <f aca="false">E23/E17</f>
        <v>9.4216861586542</v>
      </c>
      <c r="G51" s="29" t="s">
        <v>58</v>
      </c>
      <c r="H51" s="63" t="n">
        <f aca="false">H13/H11</f>
        <v>0.197950497158782</v>
      </c>
      <c r="I51" s="63" t="n">
        <f aca="false">I13/I11</f>
        <v>0.133186107651861</v>
      </c>
      <c r="J51" s="63" t="n">
        <f aca="false">J13/J11</f>
        <v>0.134576045499605</v>
      </c>
      <c r="K51" s="63" t="n">
        <f aca="false">K13/K11</f>
        <v>0.150424439739544</v>
      </c>
      <c r="M51" s="2" t="s">
        <v>59</v>
      </c>
      <c r="N51" s="32" t="n">
        <f aca="false">(N11-N24-N25)/B16</f>
        <v>-0.0674286598895712</v>
      </c>
      <c r="O51" s="32" t="n">
        <f aca="false">(O11-O24-O25)/C16</f>
        <v>-0.0790470008245759</v>
      </c>
      <c r="P51" s="32" t="n">
        <f aca="false">(P11-P24-P25)/D16</f>
        <v>0.0254815437173647</v>
      </c>
      <c r="Q51" s="32" t="n">
        <f aca="false">(Q11-Q24-Q25)/E16</f>
        <v>0.0575150482724216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0.158869566713109</v>
      </c>
      <c r="C52" s="31" t="n">
        <f aca="false">I20/C16</f>
        <v>0.145637642765663</v>
      </c>
      <c r="D52" s="31" t="n">
        <f aca="false">J20/D16</f>
        <v>0.165926008221309</v>
      </c>
      <c r="E52" s="31" t="n">
        <f aca="false">K20/E16</f>
        <v>0.234588693444503</v>
      </c>
      <c r="F52" s="31"/>
      <c r="G52" s="29" t="s">
        <v>61</v>
      </c>
      <c r="H52" s="63" t="n">
        <f aca="false">H16/H11</f>
        <v>0.0609227835094874</v>
      </c>
      <c r="I52" s="63" t="n">
        <f aca="false">I16/I11</f>
        <v>0.0391852774318528</v>
      </c>
      <c r="J52" s="63" t="n">
        <f aca="false">J16/J11</f>
        <v>0.0333938202530369</v>
      </c>
      <c r="K52" s="63" t="n">
        <f aca="false">K16/K11</f>
        <v>0.0289228218751248</v>
      </c>
      <c r="M52" s="6"/>
      <c r="N52" s="4" t="n">
        <f aca="false">N24+N18</f>
        <v>120541</v>
      </c>
      <c r="O52" s="4" t="n">
        <f aca="false">O24+O18</f>
        <v>117226</v>
      </c>
      <c r="P52" s="4" t="n">
        <f aca="false">P24+P18</f>
        <v>75515</v>
      </c>
      <c r="Q52" s="4" t="n">
        <f aca="false">Q24+Q18</f>
        <v>90938</v>
      </c>
      <c r="R52" s="4" t="n">
        <f aca="false">AVERAGE(N52:Q52)</f>
        <v>101055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0.175512740360405</v>
      </c>
      <c r="C53" s="31" t="n">
        <f aca="false">I20/C20</f>
        <v>0.160512017325058</v>
      </c>
      <c r="D53" s="31" t="n">
        <f aca="false">J20/D20</f>
        <v>0.189931545637897</v>
      </c>
      <c r="E53" s="31" t="n">
        <f aca="false">K20/E20</f>
        <v>0.25651694967217</v>
      </c>
      <c r="G53" s="29" t="s">
        <v>11</v>
      </c>
      <c r="H53" s="71" t="n">
        <f aca="false">H17/H11</f>
        <v>0.00378394280753774</v>
      </c>
      <c r="I53" s="71" t="n">
        <f aca="false">I17/I11</f>
        <v>0.00364521931645219</v>
      </c>
      <c r="J53" s="71" t="n">
        <f aca="false">J17/J11</f>
        <v>0.00327427457701161</v>
      </c>
      <c r="K53" s="71" t="n">
        <f aca="false">K17/K11</f>
        <v>0.00180361922262613</v>
      </c>
      <c r="M53" s="6"/>
      <c r="N53" s="28" t="n">
        <f aca="false">LN(N52/O52)</f>
        <v>0.0278862484790089</v>
      </c>
      <c r="O53" s="28" t="n">
        <f aca="false">LN(O52/P52)</f>
        <v>0.4397723835245</v>
      </c>
      <c r="P53" s="28" t="n">
        <f aca="false">LN(P52/Q52)</f>
        <v>-0.185846643614178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6.28331421078512</v>
      </c>
      <c r="C54" s="30" t="n">
        <f aca="false">I11/C12</f>
        <v>9.48455069451006</v>
      </c>
      <c r="D54" s="30" t="n">
        <f aca="false">J11/D12</f>
        <v>6.2224952135758</v>
      </c>
      <c r="E54" s="30" t="n">
        <f aca="false">K11/E12</f>
        <v>7.1926157382466</v>
      </c>
      <c r="G54" s="29" t="s">
        <v>64</v>
      </c>
      <c r="H54" s="63" t="n">
        <f aca="false">H25/H22</f>
        <v>0.888662476676814</v>
      </c>
      <c r="I54" s="63" t="n">
        <f aca="false">I25/I22</f>
        <v>0.789989058323292</v>
      </c>
      <c r="J54" s="63" t="n">
        <f aca="false">J25/J22</f>
        <v>0.607259118187656</v>
      </c>
      <c r="K54" s="63" t="n">
        <f aca="false">K25/K22</f>
        <v>0.442646618179837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0.0948260144142285</v>
      </c>
      <c r="C55" s="31" t="n">
        <f aca="false">(C22-C20)/C16</f>
        <v>0.0926682924261829</v>
      </c>
      <c r="D55" s="31" t="n">
        <f aca="false">(D22-D20)/D16</f>
        <v>0.126390470503277</v>
      </c>
      <c r="E55" s="31" t="n">
        <f aca="false">(E22-E20)/E16</f>
        <v>0.0854846288157256</v>
      </c>
      <c r="G55" s="29" t="s">
        <v>66</v>
      </c>
      <c r="H55" s="63" t="n">
        <f aca="false">H22/H11</f>
        <v>0.118060174980182</v>
      </c>
      <c r="I55" s="63" t="n">
        <f aca="false">I22/I11</f>
        <v>0.0799236197592362</v>
      </c>
      <c r="J55" s="63" t="n">
        <f aca="false">J22/J11</f>
        <v>0.0948405497588924</v>
      </c>
      <c r="K55" s="63" t="n">
        <f aca="false">K22/K11</f>
        <v>0.109987816082771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0.104759986394067</v>
      </c>
      <c r="C56" s="31" t="n">
        <f aca="false">(C22-C20)/C20</f>
        <v>0.102132760987683</v>
      </c>
      <c r="D56" s="31" t="n">
        <f aca="false">(D22-D20)/D20</f>
        <v>0.144676158210053</v>
      </c>
      <c r="E56" s="31" t="n">
        <f aca="false">(E22-E20)/E20</f>
        <v>0.0934753329569794</v>
      </c>
      <c r="G56" s="33" t="s">
        <v>68</v>
      </c>
      <c r="H56" s="34" t="n">
        <f aca="false">H13/B16</f>
        <v>0.234945043603901</v>
      </c>
      <c r="I56" s="34" t="n">
        <f aca="false">I13/C16</f>
        <v>0.211086159406305</v>
      </c>
      <c r="J56" s="34" t="n">
        <f aca="false">J13/D16</f>
        <v>0.222463129096767</v>
      </c>
      <c r="K56" s="34" t="n">
        <f aca="false">K13/E16</f>
        <v>0.29124522158134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1.18688786831106</v>
      </c>
      <c r="C57" s="30" t="n">
        <f aca="false">I11/C16</f>
        <v>1.58489622624958</v>
      </c>
      <c r="D57" s="30" t="n">
        <f aca="false">J11/D16</f>
        <v>1.65306632596378</v>
      </c>
      <c r="E57" s="30" t="n">
        <f aca="false">K11/E16</f>
        <v>1.93615626613351</v>
      </c>
      <c r="G57" s="33" t="s">
        <v>70</v>
      </c>
      <c r="H57" s="35" t="n">
        <f aca="false">H25/$B$5</f>
        <v>0.106041494194582</v>
      </c>
      <c r="I57" s="35" t="n">
        <f aca="false">I25/$B$5</f>
        <v>0.0835482877844927</v>
      </c>
      <c r="J57" s="35" t="n">
        <f aca="false">J25/$B$5</f>
        <v>0.0803345540736477</v>
      </c>
      <c r="K57" s="35" t="n">
        <f aca="false">K25/$B$5</f>
        <v>0.0714081670025951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1.10475998639407</v>
      </c>
      <c r="C58" s="30" t="n">
        <f aca="false">C16/C20</f>
        <v>1.10213276098768</v>
      </c>
      <c r="D58" s="30" t="n">
        <f aca="false">D16/D20</f>
        <v>1.14467615821005</v>
      </c>
      <c r="E58" s="30" t="n">
        <f aca="false">E16/E20</f>
        <v>1.09347533295698</v>
      </c>
      <c r="G58" s="36" t="s">
        <v>72</v>
      </c>
      <c r="H58" s="37" t="n">
        <f aca="false">H22/$B$7/1000</f>
        <v>1.85672934472934</v>
      </c>
      <c r="I58" s="37" t="n">
        <f aca="false">I22/$B$7/1000</f>
        <v>1.64560683760684</v>
      </c>
      <c r="J58" s="37" t="n">
        <f aca="false">J22/$B$7/1000</f>
        <v>2.05843874643875</v>
      </c>
      <c r="K58" s="37" t="n">
        <f aca="false">K22/$B$7/1000</f>
        <v>2.51015384615385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11.9940968660969</v>
      </c>
      <c r="I59" s="37" t="n">
        <f aca="false">C20/$B$7/1000</f>
        <v>11.7873504273504</v>
      </c>
      <c r="J59" s="37" t="n">
        <f aca="false">D20/$B$7/1000</f>
        <v>11.4701994301994</v>
      </c>
      <c r="K59" s="37" t="n">
        <f aca="false">E20/$B$7/1000</f>
        <v>10.7796923076923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22.3845998698477</v>
      </c>
      <c r="I60" s="38" t="n">
        <f aca="false">SQRT(22.5*I58*I59)</f>
        <v>20.8911524421609</v>
      </c>
      <c r="J60" s="38" t="n">
        <f aca="false">SQRT(22.5*J58*J59)</f>
        <v>23.0486619149854</v>
      </c>
      <c r="K60" s="38" t="n">
        <f aca="false">SQRT(22.5*K58*K59)</f>
        <v>24.6742869683493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0.897201595441596</v>
      </c>
      <c r="I61" s="39" t="n">
        <f aca="false">I58-(C20*0.08/1000/$B$7)</f>
        <v>0.702618803418803</v>
      </c>
      <c r="J61" s="39" t="n">
        <f aca="false">J58-(D20*0.08/1000/$B$7)</f>
        <v>1.14082279202279</v>
      </c>
      <c r="K61" s="39" t="n">
        <f aca="false">K58-(E20*0.08/1000/$B$7)</f>
        <v>1.64777846153846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1.6500056980057</v>
      </c>
      <c r="I62" s="41" t="n">
        <f aca="false">I25/$B$7/1000</f>
        <v>1.3000113960114</v>
      </c>
      <c r="J62" s="41" t="n">
        <f aca="false">J25/$B$7/1000</f>
        <v>1.2500056980057</v>
      </c>
      <c r="K62" s="41" t="n">
        <f aca="false">K25/$B$7/1000</f>
        <v>1.11111111111111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4.20002279202279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0.672825325338933</v>
      </c>
      <c r="I65" s="6" t="n">
        <f aca="false">J51/I51</f>
        <v>1.01043605727541</v>
      </c>
      <c r="J65" s="6" t="n">
        <f aca="false">K51/J51</f>
        <v>1.11776534361002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0.763825653798256</v>
      </c>
      <c r="I66" s="6" t="n">
        <f aca="false">I11/J11</f>
        <v>0.948652275820354</v>
      </c>
      <c r="J66" s="6" t="n">
        <f aca="false">J11/K11</f>
        <v>0.951016658011425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-11.4594694606598</v>
      </c>
      <c r="I67" s="6" t="n">
        <f aca="false">(O13/I11)/(P13/J11)</f>
        <v>-0.28075164003022</v>
      </c>
      <c r="J67" s="6" t="n">
        <f aca="false">(P13/J11)/(Q13/K11)</f>
        <v>-0.305889176725917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1.55473656184873</v>
      </c>
      <c r="I68" s="6" t="n">
        <f aca="false">I52/J52</f>
        <v>1.17342900976683</v>
      </c>
      <c r="J68" s="6" t="n">
        <f aca="false">J52/K52</f>
        <v>1.15458375386799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1.03805628112949</v>
      </c>
      <c r="I69" s="6" t="n">
        <f aca="false">I53/J53</f>
        <v>1.11329066353963</v>
      </c>
      <c r="J69" s="6" t="n">
        <f aca="false">J53/K53</f>
        <v>1.81539126215574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1.00238376491416</v>
      </c>
      <c r="I70" s="6" t="n">
        <f aca="false">C58/D58</f>
        <v>0.962833682769374</v>
      </c>
      <c r="J70" s="6" t="n">
        <f aca="false">D58/E58</f>
        <v>1.04682394171126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0.995877534920639</v>
      </c>
      <c r="I71" s="6" t="n">
        <f aca="false">((1-C11)/C16)/((1-D11)/D16)</f>
        <v>1.22563548002838</v>
      </c>
      <c r="J71" s="6" t="n">
        <f aca="false">((1-D11)/D16)/((1-E11)/E16)</f>
        <v>0.944502330997656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-0.0645561346474706</v>
      </c>
      <c r="I72" s="6" t="n">
        <f aca="false">((I13-I16-I17)-O24)/C16</f>
        <v>-0.0855506236951526</v>
      </c>
      <c r="J72" s="6" t="n">
        <f aca="false">((J13-J16-J17)-P24)/D16</f>
        <v>-0.0564260221086546</v>
      </c>
      <c r="K72" s="6" t="n">
        <f aca="false">((K13-K16-K17)-Q24)/E16</f>
        <v>-0.00614112601490035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-14.7228309966063</v>
      </c>
      <c r="I73" s="6" t="n">
        <f aca="false">-4.84 + 0.92 *I67  + 0.528 *I65 + 0.404 *I71 + 0.892 *I66 + 0.115 *I69 - 0.172 *I68- 0.327 *I70 + 4.697 *I72</f>
        <v>-4.01390596375772</v>
      </c>
      <c r="J73" s="6" t="n">
        <f aca="false">-4.84 + 0.92 *J67  + 0.528 *J65 + 0.404 *J71 + 0.892 *J66 + 0.115 *J69 - 0.172 *J68- 0.327 *J70 + 4.697 *J72</f>
        <v>-3.89851500579382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0.000770828824853593</v>
      </c>
      <c r="I75" s="6" t="n">
        <f aca="false">I59*$B$7/$B$5</f>
        <v>0.000757541779050915</v>
      </c>
      <c r="J75" s="6" t="n">
        <f aca="false">J59*$B$7/$B$5</f>
        <v>0.000737159324818277</v>
      </c>
      <c r="K75" s="6" t="n">
        <f aca="false">K59*$B$7/$B$5</f>
        <v>0.000692782261689854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e">
        <f aca="false">(H15-H16)/$B$6</f>
        <v>#DIV/0!</v>
      </c>
      <c r="I78" s="75" t="e">
        <f aca="false">(I15-I16)/$B$6</f>
        <v>#DIV/0!</v>
      </c>
      <c r="J78" s="75" t="e">
        <f aca="false">(J15-J16)/$B$6</f>
        <v>#DIV/0!</v>
      </c>
      <c r="K78" s="75" t="e">
        <f aca="false">(K15-K16)/$B$6</f>
        <v>#DIV/0!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0</v>
      </c>
      <c r="I79" s="75" t="n">
        <f aca="false">$B$6/(I15-I16)</f>
        <v>0</v>
      </c>
      <c r="J79" s="75" t="n">
        <f aca="false">$B$6/(J15-J16)</f>
        <v>0</v>
      </c>
      <c r="K79" s="75" t="n">
        <f aca="false">$B$6/(K15-K16)</f>
        <v>0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2190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IFERROR(__xludf.dummyfunction("GoogleFinance(""TADAWUL:""&amp;B1,""eps"")"),"0.9")</f>
        <v>0.9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IFERROR(__xludf.dummyfunction("GoogleFinance(""TADAWUL:""&amp;B1,""marketcap"")/1000"),"882,927.26")</f>
        <v>882,927.26</v>
      </c>
      <c r="C5" s="6" t="n">
        <f aca="false">H11/1000/B7</f>
        <v>7.83239435925421</v>
      </c>
      <c r="D5" s="6" t="n">
        <f aca="false">100/C5</f>
        <v>12.767487873213</v>
      </c>
      <c r="G5" s="6"/>
      <c r="M5" s="6"/>
    </row>
    <row r="6" customFormat="false" ht="15" hidden="false" customHeight="false" outlineLevel="0" collapsed="false">
      <c r="A6" s="2" t="s">
        <v>1</v>
      </c>
      <c r="C6" s="28" t="e">
        <f aca="false">H20/B6</f>
        <v>#DIV/0!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IFERROR(__xludf.dummyfunction("GoogleFinance(""TADAWUL:""&amp;B1,""shares"")/1000000"),"81.752523")</f>
        <v>81.752523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309366</v>
      </c>
      <c r="C11" s="11" t="n">
        <v>371234</v>
      </c>
      <c r="D11" s="11" t="n">
        <v>374742</v>
      </c>
      <c r="E11" s="11" t="n">
        <v>312058</v>
      </c>
      <c r="G11" s="10" t="s">
        <v>7</v>
      </c>
      <c r="H11" s="11" t="n">
        <v>640318</v>
      </c>
      <c r="I11" s="11" t="n">
        <v>616084</v>
      </c>
      <c r="J11" s="11" t="n">
        <v>578052</v>
      </c>
      <c r="K11" s="11" t="n">
        <v>520024</v>
      </c>
      <c r="M11" s="10" t="s">
        <v>8</v>
      </c>
      <c r="N11" s="11" t="n">
        <v>92092</v>
      </c>
      <c r="O11" s="11" t="n">
        <v>148981</v>
      </c>
      <c r="P11" s="11" t="n">
        <v>131368</v>
      </c>
      <c r="Q11" s="11" t="n">
        <v>104578</v>
      </c>
    </row>
    <row r="12" customFormat="false" ht="15" hidden="false" customHeight="false" outlineLevel="0" collapsed="false">
      <c r="A12" s="10" t="s">
        <v>9</v>
      </c>
      <c r="B12" s="11" t="n">
        <v>41179</v>
      </c>
      <c r="C12" s="11" t="n">
        <v>37172</v>
      </c>
      <c r="D12" s="11" t="n">
        <v>27496</v>
      </c>
      <c r="E12" s="11" t="n">
        <v>18959</v>
      </c>
      <c r="G12" s="10" t="s">
        <v>10</v>
      </c>
      <c r="H12" s="11" t="n">
        <v>301154</v>
      </c>
      <c r="I12" s="13" t="n">
        <v>-235692</v>
      </c>
      <c r="J12" s="11" t="n">
        <v>197223</v>
      </c>
      <c r="K12" s="11" t="n">
        <v>170415</v>
      </c>
      <c r="M12" s="10" t="s">
        <v>11</v>
      </c>
      <c r="N12" s="11" t="n">
        <v>123681</v>
      </c>
      <c r="O12" s="11" t="n">
        <v>114632</v>
      </c>
      <c r="P12" s="11" t="n">
        <v>109614</v>
      </c>
      <c r="Q12" s="11" t="n">
        <v>105955</v>
      </c>
    </row>
    <row r="13" customFormat="false" ht="15" hidden="false" customHeight="false" outlineLevel="0" collapsed="false">
      <c r="A13" s="10" t="s">
        <v>12</v>
      </c>
      <c r="B13" s="11" t="n">
        <v>118777</v>
      </c>
      <c r="C13" s="11" t="n">
        <v>114542</v>
      </c>
      <c r="D13" s="11" t="n">
        <v>107766</v>
      </c>
      <c r="E13" s="11" t="n">
        <v>87984</v>
      </c>
      <c r="G13" s="10" t="s">
        <v>13</v>
      </c>
      <c r="H13" s="11" t="n">
        <v>339164</v>
      </c>
      <c r="I13" s="11" t="n">
        <v>380392</v>
      </c>
      <c r="J13" s="11" t="n">
        <v>380829</v>
      </c>
      <c r="K13" s="11" t="n">
        <v>349609</v>
      </c>
      <c r="M13" s="10" t="s">
        <v>14</v>
      </c>
      <c r="N13" s="11" t="n">
        <v>4994</v>
      </c>
      <c r="O13" s="13" t="n">
        <v>-18231</v>
      </c>
      <c r="P13" s="11" t="n">
        <v>449</v>
      </c>
      <c r="Q13" s="13" t="n">
        <v>-2582</v>
      </c>
    </row>
    <row r="14" customFormat="false" ht="15" hidden="false" customHeight="false" outlineLevel="0" collapsed="false">
      <c r="A14" s="10" t="s">
        <v>15</v>
      </c>
      <c r="B14" s="11" t="n">
        <v>2204619</v>
      </c>
      <c r="C14" s="11" t="n">
        <v>2068774</v>
      </c>
      <c r="D14" s="11" t="n">
        <v>2062671</v>
      </c>
      <c r="E14" s="11" t="n">
        <v>2099093</v>
      </c>
      <c r="G14" s="10" t="s">
        <v>16</v>
      </c>
      <c r="H14" s="11" t="n">
        <v>23267</v>
      </c>
      <c r="I14" s="11" t="n">
        <v>11190</v>
      </c>
      <c r="J14" s="11" t="n">
        <v>8293</v>
      </c>
      <c r="K14" s="11" t="n">
        <v>122</v>
      </c>
      <c r="M14" s="10" t="s">
        <v>9</v>
      </c>
      <c r="N14" s="13" t="n">
        <v>-4007</v>
      </c>
      <c r="O14" s="13" t="n">
        <v>-9776</v>
      </c>
      <c r="P14" s="13" t="n">
        <v>-8537</v>
      </c>
      <c r="Q14" s="13" t="n">
        <v>-4047</v>
      </c>
    </row>
    <row r="15" customFormat="false" ht="15" hidden="false" customHeight="false" outlineLevel="0" collapsed="false">
      <c r="A15" s="10" t="s">
        <v>17</v>
      </c>
      <c r="B15" s="11" t="n">
        <v>8777</v>
      </c>
      <c r="C15" s="11" t="n">
        <v>8777</v>
      </c>
      <c r="D15" s="11" t="n">
        <v>8777</v>
      </c>
      <c r="E15" s="11" t="n">
        <v>8777</v>
      </c>
      <c r="G15" s="10" t="s">
        <v>18</v>
      </c>
      <c r="H15" s="11" t="n">
        <v>362431</v>
      </c>
      <c r="I15" s="11" t="n">
        <v>391582</v>
      </c>
      <c r="J15" s="11" t="n">
        <v>389122</v>
      </c>
      <c r="K15" s="11" t="n">
        <v>349731</v>
      </c>
      <c r="M15" s="10" t="s">
        <v>19</v>
      </c>
      <c r="N15" s="18"/>
      <c r="O15" s="18"/>
      <c r="P15" s="18"/>
      <c r="Q15" s="18"/>
    </row>
    <row r="16" customFormat="false" ht="15" hidden="false" customHeight="false" outlineLevel="0" collapsed="false">
      <c r="A16" s="10" t="s">
        <v>20</v>
      </c>
      <c r="B16" s="11" t="n">
        <v>2682718</v>
      </c>
      <c r="C16" s="11" t="n">
        <v>2600499</v>
      </c>
      <c r="D16" s="11" t="n">
        <v>2581452</v>
      </c>
      <c r="E16" s="11" t="n">
        <v>2526871</v>
      </c>
      <c r="G16" s="10" t="s">
        <v>21</v>
      </c>
      <c r="H16" s="11" t="n">
        <v>121700</v>
      </c>
      <c r="I16" s="13" t="n">
        <v>-111837</v>
      </c>
      <c r="J16" s="11" t="n">
        <v>110271</v>
      </c>
      <c r="K16" s="11" t="n">
        <v>99711</v>
      </c>
      <c r="M16" s="10" t="s">
        <v>22</v>
      </c>
      <c r="N16" s="11" t="n">
        <v>1709</v>
      </c>
      <c r="O16" s="11" t="n">
        <v>19399</v>
      </c>
      <c r="P16" s="11" t="n">
        <v>18554</v>
      </c>
      <c r="Q16" s="13" t="n">
        <v>-8474</v>
      </c>
    </row>
    <row r="17" customFormat="false" ht="15" hidden="false" customHeight="false" outlineLevel="0" collapsed="false">
      <c r="A17" s="10" t="s">
        <v>23</v>
      </c>
      <c r="B17" s="11" t="n">
        <v>260538</v>
      </c>
      <c r="C17" s="11" t="n">
        <v>262094</v>
      </c>
      <c r="D17" s="11" t="n">
        <v>243321</v>
      </c>
      <c r="E17" s="11" t="n">
        <v>217539</v>
      </c>
      <c r="G17" s="10" t="s">
        <v>11</v>
      </c>
      <c r="H17" s="11" t="n">
        <v>56044</v>
      </c>
      <c r="I17" s="13" t="n">
        <v>-114632</v>
      </c>
      <c r="J17" s="11" t="n">
        <v>113328</v>
      </c>
      <c r="K17" s="11" t="n">
        <v>108949</v>
      </c>
      <c r="M17" s="10" t="s">
        <v>24</v>
      </c>
      <c r="N17" s="11" t="n">
        <v>47787</v>
      </c>
      <c r="O17" s="13" t="n">
        <v>-1102</v>
      </c>
      <c r="P17" s="11" t="n">
        <v>12493</v>
      </c>
      <c r="Q17" s="11" t="n">
        <v>9741</v>
      </c>
    </row>
    <row r="18" customFormat="false" ht="15" hidden="false" customHeight="false" outlineLevel="0" collapsed="false">
      <c r="A18" s="10" t="s">
        <v>25</v>
      </c>
      <c r="B18" s="11" t="n">
        <v>914379</v>
      </c>
      <c r="C18" s="11" t="n">
        <v>904498</v>
      </c>
      <c r="D18" s="11" t="n">
        <v>1008263</v>
      </c>
      <c r="E18" s="11" t="n">
        <v>1089627</v>
      </c>
      <c r="G18" s="10" t="s">
        <v>26</v>
      </c>
      <c r="H18" s="11" t="n">
        <v>87082</v>
      </c>
      <c r="I18" s="13" t="n">
        <v>-66484</v>
      </c>
      <c r="J18" s="11" t="n">
        <v>79879</v>
      </c>
      <c r="K18" s="11" t="n">
        <v>78566</v>
      </c>
      <c r="M18" s="10" t="s">
        <v>27</v>
      </c>
      <c r="N18" s="13" t="n">
        <v>-259859</v>
      </c>
      <c r="O18" s="13" t="n">
        <v>-127462</v>
      </c>
      <c r="P18" s="13" t="n">
        <v>-79266</v>
      </c>
      <c r="Q18" s="13" t="n">
        <v>-90894</v>
      </c>
    </row>
    <row r="19" customFormat="false" ht="15" hidden="false" customHeight="false" outlineLevel="0" collapsed="false">
      <c r="A19" s="10" t="s">
        <v>28</v>
      </c>
      <c r="B19" s="18"/>
      <c r="C19" s="18"/>
      <c r="D19" s="11" t="n">
        <v>416770</v>
      </c>
      <c r="E19" s="11" t="n">
        <v>393299</v>
      </c>
      <c r="G19" s="10" t="s">
        <v>29</v>
      </c>
      <c r="H19" s="11" t="n">
        <v>264826</v>
      </c>
      <c r="I19" s="13" t="n">
        <v>-292953</v>
      </c>
      <c r="J19" s="11" t="n">
        <v>303478</v>
      </c>
      <c r="K19" s="11" t="n">
        <v>287226</v>
      </c>
      <c r="M19" s="10" t="s">
        <v>30</v>
      </c>
      <c r="N19" s="13" t="n">
        <v>-9071</v>
      </c>
      <c r="O19" s="11" t="n">
        <v>2440</v>
      </c>
      <c r="P19" s="13" t="n">
        <v>-10056</v>
      </c>
      <c r="Q19" s="13" t="n">
        <v>-20283</v>
      </c>
    </row>
    <row r="20" customFormat="false" ht="15" hidden="false" customHeight="false" outlineLevel="0" collapsed="false">
      <c r="A20" s="10" t="s">
        <v>31</v>
      </c>
      <c r="B20" s="11" t="n">
        <v>1024001</v>
      </c>
      <c r="C20" s="11" t="n">
        <v>972014</v>
      </c>
      <c r="D20" s="11" t="n">
        <v>913098</v>
      </c>
      <c r="E20" s="11" t="n">
        <v>826406</v>
      </c>
      <c r="G20" s="10" t="s">
        <v>32</v>
      </c>
      <c r="H20" s="11" t="n">
        <v>97605</v>
      </c>
      <c r="I20" s="11" t="n">
        <v>98629</v>
      </c>
      <c r="J20" s="11" t="n">
        <v>85644</v>
      </c>
      <c r="K20" s="11" t="n">
        <v>62505</v>
      </c>
      <c r="M20" s="10" t="s">
        <v>33</v>
      </c>
      <c r="N20" s="11" t="n">
        <v>114330</v>
      </c>
      <c r="O20" s="13" t="n">
        <v>-105287</v>
      </c>
      <c r="P20" s="13" t="n">
        <v>-85169</v>
      </c>
      <c r="Q20" s="13" t="n">
        <v>-45268</v>
      </c>
    </row>
    <row r="21" customFormat="false" ht="15" hidden="false" customHeight="false" outlineLevel="0" collapsed="false">
      <c r="A21" s="10" t="s">
        <v>34</v>
      </c>
      <c r="B21" s="11" t="n">
        <v>483800</v>
      </c>
      <c r="C21" s="15"/>
      <c r="D21" s="18"/>
      <c r="E21" s="15"/>
      <c r="G21" s="10" t="s">
        <v>35</v>
      </c>
      <c r="H21" s="11" t="n">
        <v>5513</v>
      </c>
      <c r="I21" s="13" t="n">
        <v>-8120</v>
      </c>
      <c r="J21" s="11" t="n">
        <v>7566</v>
      </c>
      <c r="K21" s="11" t="n">
        <v>6465</v>
      </c>
      <c r="M21" s="10" t="s">
        <v>36</v>
      </c>
      <c r="N21" s="13" t="n">
        <v>-168921</v>
      </c>
      <c r="O21" s="13" t="n">
        <v>-44363</v>
      </c>
      <c r="P21" s="13" t="n">
        <v>-25430</v>
      </c>
      <c r="Q21" s="13" t="n">
        <v>-2359</v>
      </c>
    </row>
    <row r="22" customFormat="false" ht="15" hidden="false" customHeight="false" outlineLevel="0" collapsed="false">
      <c r="A22" s="10" t="s">
        <v>37</v>
      </c>
      <c r="B22" s="11" t="n">
        <v>2682718</v>
      </c>
      <c r="C22" s="11" t="n">
        <v>2600499</v>
      </c>
      <c r="D22" s="11" t="n">
        <v>2581452</v>
      </c>
      <c r="E22" s="11" t="n">
        <v>2526871</v>
      </c>
      <c r="G22" s="10" t="s">
        <v>8</v>
      </c>
      <c r="H22" s="11" t="n">
        <v>92092</v>
      </c>
      <c r="I22" s="11" t="n">
        <v>90509</v>
      </c>
      <c r="J22" s="11" t="n">
        <v>78078</v>
      </c>
      <c r="K22" s="11" t="n">
        <v>56040</v>
      </c>
      <c r="M22" s="10" t="s">
        <v>38</v>
      </c>
      <c r="N22" s="11" t="n">
        <v>252669</v>
      </c>
      <c r="O22" s="11" t="n">
        <v>273439</v>
      </c>
      <c r="P22" s="11" t="n">
        <v>209418</v>
      </c>
      <c r="Q22" s="11" t="n">
        <v>163051</v>
      </c>
    </row>
    <row r="23" customFormat="false" ht="15" hidden="false" customHeight="false" outlineLevel="0" collapsed="false">
      <c r="A23" s="6"/>
      <c r="B23" s="4" t="n">
        <f aca="false">B11+B12</f>
        <v>350545</v>
      </c>
      <c r="C23" s="4" t="n">
        <f aca="false">C11+C12</f>
        <v>408406</v>
      </c>
      <c r="D23" s="4" t="n">
        <f aca="false">D11+D12</f>
        <v>402238</v>
      </c>
      <c r="E23" s="4" t="n">
        <f aca="false">E11+E12</f>
        <v>331017</v>
      </c>
      <c r="G23" s="10" t="s">
        <v>39</v>
      </c>
      <c r="H23" s="18"/>
      <c r="I23" s="18"/>
      <c r="J23" s="11" t="n">
        <v>88740</v>
      </c>
      <c r="K23" s="11" t="n">
        <v>41106</v>
      </c>
      <c r="M23" s="10" t="s">
        <v>40</v>
      </c>
      <c r="N23" s="11" t="n">
        <v>195404</v>
      </c>
      <c r="O23" s="11" t="n">
        <v>252670</v>
      </c>
      <c r="P23" s="11" t="n">
        <v>273438</v>
      </c>
      <c r="Q23" s="11" t="n">
        <v>209418</v>
      </c>
    </row>
    <row r="24" customFormat="false" ht="15" hidden="false" customHeight="false" outlineLevel="0" collapsed="false">
      <c r="A24" s="6"/>
      <c r="B24" s="6" t="n">
        <f aca="false">B16/(B22-B20)</f>
        <v>1.61734521319791</v>
      </c>
      <c r="C24" s="6" t="n">
        <f aca="false">C16/(C22-C20)</f>
        <v>1.59688237840692</v>
      </c>
      <c r="D24" s="6" t="n">
        <f aca="false">D16/(D22-D20)</f>
        <v>1.5473047087129</v>
      </c>
      <c r="E24" s="6" t="n">
        <f aca="false">E16/(E22-E20)</f>
        <v>1.48598824439198</v>
      </c>
      <c r="G24" s="10" t="s">
        <v>41</v>
      </c>
      <c r="H24" s="18"/>
      <c r="I24" s="18"/>
      <c r="J24" s="11" t="n">
        <v>11712</v>
      </c>
      <c r="K24" s="11" t="n">
        <v>8406</v>
      </c>
      <c r="M24" s="2" t="s">
        <v>42</v>
      </c>
      <c r="N24" s="12" t="n">
        <f aca="false">SUM(N11:N17)</f>
        <v>266256</v>
      </c>
      <c r="O24" s="12" t="n">
        <f aca="false">SUM(O11:O17)</f>
        <v>253903</v>
      </c>
      <c r="P24" s="12" t="n">
        <f aca="false">SUM(P11:P17)</f>
        <v>263941</v>
      </c>
      <c r="Q24" s="12" t="n">
        <f aca="false">SUM(Q11:Q17)</f>
        <v>205171</v>
      </c>
    </row>
    <row r="25" customFormat="false" ht="15" hidden="false" customHeight="false" outlineLevel="0" collapsed="false">
      <c r="A25" s="6"/>
      <c r="B25" s="6" t="n">
        <f aca="false">B24/B5*1000</f>
        <v>0.0018317989334681</v>
      </c>
      <c r="G25" s="10" t="s">
        <v>43</v>
      </c>
      <c r="H25" s="18"/>
      <c r="I25" s="18"/>
      <c r="J25" s="18"/>
      <c r="K25" s="18"/>
      <c r="M25" s="2" t="s">
        <v>44</v>
      </c>
      <c r="N25" s="12" t="n">
        <f aca="false">N18+N19</f>
        <v>-268930</v>
      </c>
      <c r="O25" s="12" t="n">
        <f aca="false">O18+O19</f>
        <v>-125022</v>
      </c>
      <c r="P25" s="12" t="n">
        <f aca="false">P18+P19</f>
        <v>-89322</v>
      </c>
      <c r="Q25" s="12" t="n">
        <f aca="false">Q18+Q19</f>
        <v>-111177</v>
      </c>
    </row>
    <row r="26" customFormat="false" ht="15" hidden="false" customHeight="false" outlineLevel="0" collapsed="false">
      <c r="A26" s="6"/>
      <c r="B26" s="4" t="n">
        <f aca="false">B23-B17</f>
        <v>90007</v>
      </c>
      <c r="C26" s="4" t="n">
        <f aca="false">C23-C17</f>
        <v>146312</v>
      </c>
      <c r="G26" s="10" t="s">
        <v>45</v>
      </c>
      <c r="H26" s="18"/>
      <c r="I26" s="18"/>
      <c r="J26" s="18"/>
      <c r="K26" s="18"/>
      <c r="M26" s="2" t="s">
        <v>46</v>
      </c>
      <c r="N26" s="12" t="n">
        <f aca="false">N20+N21</f>
        <v>-54591</v>
      </c>
      <c r="O26" s="12" t="n">
        <f aca="false">O20+O21</f>
        <v>-149650</v>
      </c>
      <c r="P26" s="12" t="n">
        <f aca="false">P20+P21</f>
        <v>-110599</v>
      </c>
      <c r="Q26" s="12" t="n">
        <f aca="false">Q20+Q21</f>
        <v>-47627</v>
      </c>
    </row>
    <row r="27" customFormat="false" ht="15" hidden="false" customHeight="false" outlineLevel="0" collapsed="false">
      <c r="A27" s="6"/>
      <c r="B27" s="6" t="n">
        <f aca="false">B22/90000</f>
        <v>29.8079777777778</v>
      </c>
      <c r="F27" s="6" t="n">
        <f aca="false">H20*0.025</f>
        <v>2440.125</v>
      </c>
      <c r="G27" s="10" t="s">
        <v>47</v>
      </c>
      <c r="H27" s="18"/>
      <c r="I27" s="18"/>
      <c r="J27" s="11" t="n">
        <v>155106</v>
      </c>
      <c r="K27" s="11" t="n">
        <v>88740</v>
      </c>
      <c r="M27" s="2" t="s">
        <v>115</v>
      </c>
      <c r="N27" s="12" t="n">
        <f aca="false">N24+N18</f>
        <v>6397</v>
      </c>
      <c r="O27" s="12" t="n">
        <f aca="false">O24+O18</f>
        <v>126441</v>
      </c>
      <c r="P27" s="12" t="n">
        <f aca="false">P24+P18</f>
        <v>184675</v>
      </c>
      <c r="Q27" s="12" t="n">
        <f aca="false">Q24+Q18</f>
        <v>114277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60312</v>
      </c>
      <c r="O28" s="12" t="n">
        <f aca="false">(D11-C11)+(C17-D17)</f>
        <v>22281</v>
      </c>
      <c r="P28" s="12" t="n">
        <f aca="false">(E11-D11)+(D17-E17)</f>
        <v>-36902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0.115318121397776</v>
      </c>
      <c r="C30" s="24" t="n">
        <f aca="false">C11/C$16</f>
        <v>0.142754909730786</v>
      </c>
      <c r="D30" s="24" t="n">
        <f aca="false">D11/D$16</f>
        <v>0.14516713849415</v>
      </c>
      <c r="E30" s="24" t="n">
        <f aca="false">E11/E$16</f>
        <v>0.123495817554596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0.143822288300501</v>
      </c>
      <c r="O30" s="26" t="n">
        <f aca="false">O11/I$11</f>
        <v>0.241819297368541</v>
      </c>
      <c r="P30" s="26" t="n">
        <f aca="false">P11/J$11</f>
        <v>0.227259831295454</v>
      </c>
      <c r="Q30" s="26" t="n">
        <f aca="false">Q11/K$11</f>
        <v>0.201102256818916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0.0153497311308904</v>
      </c>
      <c r="C31" s="24" t="n">
        <f aca="false">C12/C$16</f>
        <v>0.0142941796939741</v>
      </c>
      <c r="D31" s="24" t="n">
        <f aca="false">D12/D$16</f>
        <v>0.0106513698492166</v>
      </c>
      <c r="E31" s="24" t="n">
        <f aca="false">E12/E$16</f>
        <v>0.007502955235942</v>
      </c>
      <c r="F31" s="6"/>
      <c r="G31" s="25" t="s">
        <v>10</v>
      </c>
      <c r="H31" s="24" t="n">
        <f aca="false">H12/H$11</f>
        <v>0.470319435030719</v>
      </c>
      <c r="I31" s="24" t="n">
        <f aca="false">I12/I$11</f>
        <v>-0.382564715201174</v>
      </c>
      <c r="J31" s="24" t="n">
        <f aca="false">J12/J$11</f>
        <v>0.34118556808038</v>
      </c>
      <c r="K31" s="24" t="n">
        <f aca="false">K12/K$11</f>
        <v>0.32770602895251</v>
      </c>
      <c r="L31" s="6"/>
      <c r="M31" s="25" t="s">
        <v>11</v>
      </c>
      <c r="N31" s="26" t="n">
        <f aca="false">N12/H$11</f>
        <v>0.193155588317055</v>
      </c>
      <c r="O31" s="26" t="n">
        <f aca="false">O12/I$11</f>
        <v>0.186065536517748</v>
      </c>
      <c r="P31" s="26" t="n">
        <f aca="false">P12/J$11</f>
        <v>0.189626538788898</v>
      </c>
      <c r="Q31" s="26" t="n">
        <f aca="false">Q12/K$11</f>
        <v>0.203750211528699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0.0442748734678785</v>
      </c>
      <c r="C32" s="24" t="n">
        <f aca="false">C13/C$16</f>
        <v>0.044046161909695</v>
      </c>
      <c r="D32" s="24" t="n">
        <f aca="false">D13/D$16</f>
        <v>0.0417462730277379</v>
      </c>
      <c r="E32" s="24" t="n">
        <f aca="false">E13/E$16</f>
        <v>0.0348193477229348</v>
      </c>
      <c r="F32" s="6"/>
      <c r="G32" s="25" t="s">
        <v>13</v>
      </c>
      <c r="H32" s="24" t="n">
        <f aca="false">H13/H$11</f>
        <v>0.529680564969281</v>
      </c>
      <c r="I32" s="24" t="n">
        <f aca="false">I13/I$11</f>
        <v>0.617435284798826</v>
      </c>
      <c r="J32" s="24" t="n">
        <f aca="false">J13/J$11</f>
        <v>0.65881443191962</v>
      </c>
      <c r="K32" s="24" t="n">
        <f aca="false">K13/K$11</f>
        <v>0.67229397104749</v>
      </c>
      <c r="L32" s="6"/>
      <c r="M32" s="25" t="s">
        <v>14</v>
      </c>
      <c r="N32" s="26" t="n">
        <f aca="false">N13/H$11</f>
        <v>0.00779924974778157</v>
      </c>
      <c r="O32" s="26" t="n">
        <f aca="false">O13/I$11</f>
        <v>-0.0295917439829634</v>
      </c>
      <c r="P32" s="26" t="n">
        <f aca="false">P13/J$11</f>
        <v>0.000776746728668009</v>
      </c>
      <c r="Q32" s="26" t="n">
        <f aca="false">Q13/K$11</f>
        <v>-0.00496515545436365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0.821785592074903</v>
      </c>
      <c r="C33" s="24" t="n">
        <f aca="false">C14/C$16</f>
        <v>0.795529627198472</v>
      </c>
      <c r="D33" s="24" t="n">
        <f aca="false">D14/D$16</f>
        <v>0.79903519414655</v>
      </c>
      <c r="E33" s="24" t="n">
        <f aca="false">E14/E$16</f>
        <v>0.830708413686334</v>
      </c>
      <c r="F33" s="6"/>
      <c r="G33" s="25" t="s">
        <v>16</v>
      </c>
      <c r="H33" s="24" t="n">
        <f aca="false">H14/H$11</f>
        <v>0.0363366327356095</v>
      </c>
      <c r="I33" s="24" t="n">
        <f aca="false">I14/I$11</f>
        <v>0.0181631076281806</v>
      </c>
      <c r="J33" s="24" t="n">
        <f aca="false">J14/J$11</f>
        <v>0.014346460180053</v>
      </c>
      <c r="K33" s="24" t="n">
        <f aca="false">K14/K$11</f>
        <v>0.000234604556712767</v>
      </c>
      <c r="L33" s="6"/>
      <c r="M33" s="25" t="s">
        <v>9</v>
      </c>
      <c r="N33" s="26" t="n">
        <f aca="false">N14/H$11</f>
        <v>-0.00625782814164212</v>
      </c>
      <c r="O33" s="26" t="n">
        <f aca="false">O14/I$11</f>
        <v>-0.0158679660565767</v>
      </c>
      <c r="P33" s="26" t="n">
        <f aca="false">P14/J$11</f>
        <v>-0.0147685675337167</v>
      </c>
      <c r="Q33" s="26" t="n">
        <f aca="false">Q14/K$11</f>
        <v>-0.00778233312308663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0.00327168192855157</v>
      </c>
      <c r="C34" s="24" t="n">
        <f aca="false">C15/C$16</f>
        <v>0.00337512146707228</v>
      </c>
      <c r="D34" s="24" t="n">
        <f aca="false">D15/D$16</f>
        <v>0.00340002448234559</v>
      </c>
      <c r="E34" s="24" t="n">
        <f aca="false">E15/E$16</f>
        <v>0.0034734658001932</v>
      </c>
      <c r="F34" s="6"/>
      <c r="G34" s="25" t="s">
        <v>18</v>
      </c>
      <c r="H34" s="24" t="n">
        <f aca="false">H15/H$11</f>
        <v>0.56601719770489</v>
      </c>
      <c r="I34" s="24" t="n">
        <f aca="false">I15/I$11</f>
        <v>0.635598392427007</v>
      </c>
      <c r="J34" s="24" t="n">
        <f aca="false">J15/J$11</f>
        <v>0.673160892099673</v>
      </c>
      <c r="K34" s="24" t="n">
        <f aca="false">K15/K$11</f>
        <v>0.672528575604203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0.190061813036647</v>
      </c>
      <c r="I35" s="24" t="n">
        <f aca="false">I16/I$11</f>
        <v>-0.181528817498912</v>
      </c>
      <c r="J35" s="24" t="n">
        <f aca="false">J16/J$11</f>
        <v>0.190763114737082</v>
      </c>
      <c r="K35" s="24" t="n">
        <f aca="false">K16/K$11</f>
        <v>0.191743073396612</v>
      </c>
      <c r="L35" s="6"/>
      <c r="M35" s="25" t="s">
        <v>22</v>
      </c>
      <c r="N35" s="26" t="n">
        <f aca="false">N16/H$11</f>
        <v>0.00266898634740863</v>
      </c>
      <c r="O35" s="26" t="n">
        <f aca="false">O16/I$11</f>
        <v>0.0314875893546984</v>
      </c>
      <c r="P35" s="26" t="n">
        <f aca="false">P16/J$11</f>
        <v>0.0320974583601475</v>
      </c>
      <c r="Q35" s="26" t="n">
        <f aca="false">Q16/K$11</f>
        <v>-0.0162954017506884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0.0971171774297559</v>
      </c>
      <c r="C36" s="24" t="n">
        <f aca="false">C17/C$16</f>
        <v>0.100786041448199</v>
      </c>
      <c r="D36" s="24" t="n">
        <f aca="false">D17/D$16</f>
        <v>0.0942574179182878</v>
      </c>
      <c r="E36" s="24" t="n">
        <f aca="false">E17/E$16</f>
        <v>0.0860902673701982</v>
      </c>
      <c r="F36" s="6"/>
      <c r="G36" s="25" t="s">
        <v>11</v>
      </c>
      <c r="H36" s="24" t="n">
        <f aca="false">H17/H$11</f>
        <v>0.0875252608859973</v>
      </c>
      <c r="I36" s="24" t="n">
        <f aca="false">I17/I$11</f>
        <v>-0.186065536517748</v>
      </c>
      <c r="J36" s="24" t="n">
        <f aca="false">J17/J$11</f>
        <v>0.196051566295074</v>
      </c>
      <c r="K36" s="24" t="n">
        <f aca="false">K17/K$11</f>
        <v>0.20950763810901</v>
      </c>
      <c r="L36" s="6"/>
      <c r="M36" s="25" t="s">
        <v>24</v>
      </c>
      <c r="N36" s="26" t="n">
        <f aca="false">N17/H$11</f>
        <v>0.0746301056662471</v>
      </c>
      <c r="O36" s="26" t="n">
        <f aca="false">O17/I$11</f>
        <v>-0.00178871712298972</v>
      </c>
      <c r="P36" s="26" t="n">
        <f aca="false">P17/J$11</f>
        <v>0.0216122424972148</v>
      </c>
      <c r="Q36" s="26" t="n">
        <f aca="false">Q17/K$11</f>
        <v>0.0187318277617956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0.340840520695802</v>
      </c>
      <c r="C37" s="24" t="n">
        <f aca="false">C18/C$16</f>
        <v>0.347817092027338</v>
      </c>
      <c r="D37" s="24" t="n">
        <f aca="false">D18/D$16</f>
        <v>0.390579797726241</v>
      </c>
      <c r="E37" s="24" t="n">
        <f aca="false">E18/E$16</f>
        <v>0.431215918818175</v>
      </c>
      <c r="F37" s="6"/>
      <c r="G37" s="25" t="s">
        <v>26</v>
      </c>
      <c r="H37" s="24" t="n">
        <f aca="false">H18/H$11</f>
        <v>0.135998050968425</v>
      </c>
      <c r="I37" s="24" t="n">
        <f aca="false">I18/I$11</f>
        <v>-0.107913855902767</v>
      </c>
      <c r="J37" s="24" t="n">
        <f aca="false">J18/J$11</f>
        <v>0.138186529931563</v>
      </c>
      <c r="K37" s="24" t="n">
        <f aca="false">K18/K$11</f>
        <v>0.151081488546682</v>
      </c>
      <c r="L37" s="6"/>
      <c r="M37" s="25" t="s">
        <v>27</v>
      </c>
      <c r="N37" s="26" t="n">
        <f aca="false">N18/H$11</f>
        <v>-0.405828041691784</v>
      </c>
      <c r="O37" s="26" t="n">
        <f aca="false">O18/I$11</f>
        <v>-0.20689061881172</v>
      </c>
      <c r="P37" s="26" t="n">
        <f aca="false">P18/J$11</f>
        <v>-0.137126071702892</v>
      </c>
      <c r="Q37" s="26" t="n">
        <f aca="false">Q18/K$11</f>
        <v>-0.174788086703691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0.161447898314592</v>
      </c>
      <c r="E38" s="24" t="n">
        <f aca="false">E19/E$16</f>
        <v>0.155646647573224</v>
      </c>
      <c r="F38" s="6"/>
      <c r="G38" s="25" t="s">
        <v>29</v>
      </c>
      <c r="H38" s="24" t="n">
        <f aca="false">H19/H$11</f>
        <v>0.41358512489107</v>
      </c>
      <c r="I38" s="24" t="n">
        <f aca="false">I19/I$11</f>
        <v>-0.475508209919427</v>
      </c>
      <c r="J38" s="24" t="n">
        <f aca="false">J19/J$11</f>
        <v>0.52500121096372</v>
      </c>
      <c r="K38" s="24" t="n">
        <f aca="false">K19/K$11</f>
        <v>0.552332200052305</v>
      </c>
      <c r="L38" s="6"/>
      <c r="M38" s="25" t="s">
        <v>30</v>
      </c>
      <c r="N38" s="26" t="n">
        <f aca="false">N19/H$11</f>
        <v>-0.0141663985707102</v>
      </c>
      <c r="O38" s="26" t="n">
        <f aca="false">O19/I$11</f>
        <v>0.0039604988930081</v>
      </c>
      <c r="P38" s="26" t="n">
        <f aca="false">P19/J$11</f>
        <v>-0.0173963588050902</v>
      </c>
      <c r="Q38" s="26" t="n">
        <f aca="false">Q19/K$11</f>
        <v>-0.0390039690475824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0.381702810358748</v>
      </c>
      <c r="C39" s="24" t="n">
        <f aca="false">C20/C$16</f>
        <v>0.373779801491944</v>
      </c>
      <c r="D39" s="24" t="n">
        <f aca="false">D20/D$16</f>
        <v>0.353714886040879</v>
      </c>
      <c r="E39" s="24" t="n">
        <f aca="false">E20/E$16</f>
        <v>0.327047166238403</v>
      </c>
      <c r="F39" s="6"/>
      <c r="G39" s="25" t="s">
        <v>32</v>
      </c>
      <c r="H39" s="24" t="n">
        <f aca="false">H20/H$11</f>
        <v>0.152432072813821</v>
      </c>
      <c r="I39" s="24" t="n">
        <f aca="false">I20/I$11</f>
        <v>0.16009018250758</v>
      </c>
      <c r="J39" s="24" t="n">
        <f aca="false">J20/J$11</f>
        <v>0.148159681135953</v>
      </c>
      <c r="K39" s="24" t="n">
        <f aca="false">K20/K$11</f>
        <v>0.120196375551898</v>
      </c>
      <c r="L39" s="6"/>
      <c r="M39" s="25" t="s">
        <v>33</v>
      </c>
      <c r="N39" s="26" t="n">
        <f aca="false">N20/H$11</f>
        <v>0.178551907021199</v>
      </c>
      <c r="O39" s="26" t="n">
        <f aca="false">O20/I$11</f>
        <v>-0.170897150388583</v>
      </c>
      <c r="P39" s="26" t="n">
        <f aca="false">P20/J$11</f>
        <v>-0.147337955754846</v>
      </c>
      <c r="Q39" s="26" t="n">
        <f aca="false">Q20/K$11</f>
        <v>-0.0870498284694553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0.180339491515694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0.00860978451331994</v>
      </c>
      <c r="I40" s="24" t="n">
        <f aca="false">I21/I$11</f>
        <v>-0.0131800209062401</v>
      </c>
      <c r="J40" s="24" t="n">
        <f aca="false">J21/J$11</f>
        <v>0.0130887878599157</v>
      </c>
      <c r="K40" s="24" t="n">
        <f aca="false">K21/K$11</f>
        <v>0.0124321185176069</v>
      </c>
      <c r="L40" s="6"/>
      <c r="M40" s="25" t="s">
        <v>36</v>
      </c>
      <c r="N40" s="26" t="n">
        <f aca="false">N21/H$11</f>
        <v>-0.263807982908492</v>
      </c>
      <c r="O40" s="26" t="n">
        <f aca="false">O21/I$11</f>
        <v>-0.0720080378649665</v>
      </c>
      <c r="P40" s="26" t="n">
        <f aca="false">P21/J$11</f>
        <v>-0.0439925819822438</v>
      </c>
      <c r="Q40" s="26" t="n">
        <f aca="false">Q21/K$11</f>
        <v>-0.00453632909250342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0.143822288300501</v>
      </c>
      <c r="I41" s="24" t="n">
        <f aca="false">I22/I$11</f>
        <v>0.14691016160134</v>
      </c>
      <c r="J41" s="24" t="n">
        <f aca="false">J22/J$11</f>
        <v>0.135070893276037</v>
      </c>
      <c r="K41" s="24" t="n">
        <f aca="false">K22/K$11</f>
        <v>0.107764257034291</v>
      </c>
      <c r="L41" s="6"/>
      <c r="M41" s="25" t="s">
        <v>38</v>
      </c>
      <c r="N41" s="26" t="n">
        <f aca="false">N22/H$11</f>
        <v>0.394599245999644</v>
      </c>
      <c r="O41" s="26" t="n">
        <f aca="false">O22/I$11</f>
        <v>0.443833957707066</v>
      </c>
      <c r="P41" s="26" t="n">
        <f aca="false">P22/J$11</f>
        <v>0.362282286022711</v>
      </c>
      <c r="Q41" s="26" t="n">
        <f aca="false">Q22/K$11</f>
        <v>0.313545144070274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0.153515600672604</v>
      </c>
      <c r="K42" s="24" t="n">
        <f aca="false">K23/K$11</f>
        <v>0.0790463517068443</v>
      </c>
      <c r="L42" s="6"/>
      <c r="M42" s="25" t="s">
        <v>40</v>
      </c>
      <c r="N42" s="26" t="n">
        <f aca="false">N23/H$11</f>
        <v>0.305167120087207</v>
      </c>
      <c r="O42" s="26" t="n">
        <f aca="false">O23/I$11</f>
        <v>0.410122645613261</v>
      </c>
      <c r="P42" s="26" t="n">
        <f aca="false">P23/J$11</f>
        <v>0.473033567914305</v>
      </c>
      <c r="Q42" s="26" t="n">
        <f aca="false">Q23/K$11</f>
        <v>0.402708336538314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0.0202611529758568</v>
      </c>
      <c r="K43" s="24" t="n">
        <f aca="false">K24/K$11</f>
        <v>0.0161646385551436</v>
      </c>
      <c r="L43" s="6"/>
      <c r="M43" s="2" t="s">
        <v>49</v>
      </c>
      <c r="N43" s="26" t="n">
        <f aca="false">N24/H11</f>
        <v>0.415818390237351</v>
      </c>
      <c r="O43" s="26" t="n">
        <f aca="false">O24/I11</f>
        <v>0.412123996078457</v>
      </c>
      <c r="P43" s="26" t="n">
        <f aca="false">P24/J11</f>
        <v>0.456604250136666</v>
      </c>
      <c r="Q43" s="26" t="n">
        <f aca="false">Q24/K11</f>
        <v>0.394541405781272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0.0992485978772275</v>
      </c>
      <c r="O44" s="26" t="n">
        <f aca="false">O24/C16</f>
        <v>0.0976362613483028</v>
      </c>
      <c r="P44" s="26" t="n">
        <f aca="false">P24/D16</f>
        <v>0.102245170547428</v>
      </c>
      <c r="Q44" s="26" t="n">
        <f aca="false">Q24/E16</f>
        <v>0.0811956763918696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0.260015371078739</v>
      </c>
      <c r="O45" s="26" t="n">
        <f aca="false">O24/C20</f>
        <v>0.261213315857591</v>
      </c>
      <c r="P45" s="26" t="n">
        <f aca="false">P24/D20</f>
        <v>0.289060977025467</v>
      </c>
      <c r="Q45" s="26" t="n">
        <f aca="false">Q24/E20</f>
        <v>0.248269010631578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0.268325340972784</v>
      </c>
      <c r="K46" s="24" t="n">
        <f aca="false">K27/K$11</f>
        <v>0.170645970185991</v>
      </c>
      <c r="L46" s="6"/>
      <c r="M46" s="2" t="s">
        <v>52</v>
      </c>
      <c r="N46" s="26" t="n">
        <f aca="false">N24/H22</f>
        <v>2.89119576076098</v>
      </c>
      <c r="O46" s="26" t="n">
        <f aca="false">O24/I22</f>
        <v>2.80527903302434</v>
      </c>
      <c r="P46" s="26" t="n">
        <f aca="false">P24/J22</f>
        <v>3.38047849586311</v>
      </c>
      <c r="Q46" s="26" t="n">
        <f aca="false">Q24/K22</f>
        <v>3.66115274803712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0.160519244693338</v>
      </c>
      <c r="O47" s="26" t="n">
        <f aca="false">O24/(C22-C20)</f>
        <v>0.155913625240638</v>
      </c>
      <c r="P47" s="26" t="n">
        <f aca="false">P24/(D22-D20)</f>
        <v>0.158204433831189</v>
      </c>
      <c r="Q47" s="26" t="n">
        <f aca="false">Q24/(E22-E20)</f>
        <v>0.120655820613773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1.02461719624874</v>
      </c>
      <c r="O49" s="26" t="n">
        <f aca="false">O24/(O18*-1)</f>
        <v>1.99198976949993</v>
      </c>
      <c r="P49" s="26" t="n">
        <f aca="false">P24/(P18*-1)</f>
        <v>3.32981353922237</v>
      </c>
      <c r="Q49" s="26" t="n">
        <f aca="false">Q24/(Q18*-1)</f>
        <v>2.25725570444694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0.0173387841070075</v>
      </c>
      <c r="I50" s="28" t="n">
        <f aca="false">LN(I15/J15)</f>
        <v>0.00630202520206528</v>
      </c>
      <c r="J50" s="28" t="n">
        <f aca="false">LN(J22/K22)</f>
        <v>0.331642605553869</v>
      </c>
      <c r="M50" s="2" t="s">
        <v>117</v>
      </c>
      <c r="N50" s="32" t="e">
        <f aca="false">(H15-H16-N28-N25)/($B$6)</f>
        <v>#DIV/0!</v>
      </c>
      <c r="O50" s="32" t="e">
        <f aca="false">(I15-I16-O28-O25)/($B$6)</f>
        <v>#DIV/0!</v>
      </c>
      <c r="P50" s="32" t="e">
        <f aca="false">(J15-J16-P28-P25)/($B$6)</f>
        <v>#DIV/0!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1.34546592051831</v>
      </c>
      <c r="C51" s="30" t="n">
        <f aca="false">C23/C17</f>
        <v>1.55824246262791</v>
      </c>
      <c r="D51" s="30" t="n">
        <f aca="false">D23/D17</f>
        <v>1.65311666481726</v>
      </c>
      <c r="E51" s="30" t="n">
        <f aca="false">E23/E17</f>
        <v>1.52164439479817</v>
      </c>
      <c r="G51" s="29" t="s">
        <v>58</v>
      </c>
      <c r="H51" s="63" t="n">
        <f aca="false">H13/H11</f>
        <v>0.529680564969281</v>
      </c>
      <c r="I51" s="63" t="n">
        <f aca="false">I13/I11</f>
        <v>0.617435284798826</v>
      </c>
      <c r="J51" s="63" t="n">
        <f aca="false">J13/J11</f>
        <v>0.65881443191962</v>
      </c>
      <c r="K51" s="63" t="n">
        <f aca="false">K13/K11</f>
        <v>0.67229397104749</v>
      </c>
      <c r="M51" s="2" t="s">
        <v>59</v>
      </c>
      <c r="N51" s="32" t="n">
        <f aca="false">(N11-N24-N25)/B16</f>
        <v>0.0353246222674169</v>
      </c>
      <c r="O51" s="32" t="n">
        <f aca="false">(O11-O24-O25)/C16</f>
        <v>0.00772928580245561</v>
      </c>
      <c r="P51" s="32" t="n">
        <f aca="false">(P11-P24-P25)/D16</f>
        <v>-0.0167545241980095</v>
      </c>
      <c r="Q51" s="32" t="n">
        <f aca="false">(Q11-Q24-Q25)/E16</f>
        <v>0.00418857947239887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0.0363828773654182</v>
      </c>
      <c r="C52" s="31" t="n">
        <f aca="false">I20/C16</f>
        <v>0.0379269517119599</v>
      </c>
      <c r="D52" s="31" t="n">
        <f aca="false">J20/D16</f>
        <v>0.0331766773118385</v>
      </c>
      <c r="E52" s="31" t="n">
        <f aca="false">K20/E16</f>
        <v>0.024736126220927</v>
      </c>
      <c r="F52" s="31"/>
      <c r="G52" s="29" t="s">
        <v>61</v>
      </c>
      <c r="H52" s="63" t="n">
        <f aca="false">H16/H11</f>
        <v>0.190061813036647</v>
      </c>
      <c r="I52" s="63" t="n">
        <f aca="false">I16/I11</f>
        <v>-0.181528817498912</v>
      </c>
      <c r="J52" s="63" t="n">
        <f aca="false">J16/J11</f>
        <v>0.190763114737082</v>
      </c>
      <c r="K52" s="63" t="n">
        <f aca="false">K16/K11</f>
        <v>0.191743073396612</v>
      </c>
      <c r="M52" s="6"/>
      <c r="N52" s="4" t="n">
        <f aca="false">N24+N18</f>
        <v>6397</v>
      </c>
      <c r="O52" s="4" t="n">
        <f aca="false">O24+O18</f>
        <v>126441</v>
      </c>
      <c r="P52" s="4" t="n">
        <f aca="false">P24+P18</f>
        <v>184675</v>
      </c>
      <c r="Q52" s="4" t="n">
        <f aca="false">Q24+Q18</f>
        <v>114277</v>
      </c>
      <c r="R52" s="4" t="n">
        <f aca="false">AVERAGE(N52:Q52)</f>
        <v>107947.5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0.0953172897292093</v>
      </c>
      <c r="C53" s="31" t="n">
        <f aca="false">I20/C20</f>
        <v>0.101468703125675</v>
      </c>
      <c r="D53" s="31" t="n">
        <f aca="false">J20/D20</f>
        <v>0.0937949705289027</v>
      </c>
      <c r="E53" s="31" t="n">
        <f aca="false">K20/E20</f>
        <v>0.0756347364370539</v>
      </c>
      <c r="G53" s="29" t="s">
        <v>11</v>
      </c>
      <c r="H53" s="71" t="n">
        <f aca="false">H17/H11</f>
        <v>0.0875252608859973</v>
      </c>
      <c r="I53" s="71" t="n">
        <f aca="false">I17/I11</f>
        <v>-0.186065536517748</v>
      </c>
      <c r="J53" s="71" t="n">
        <f aca="false">J17/J11</f>
        <v>0.196051566295074</v>
      </c>
      <c r="K53" s="71" t="n">
        <f aca="false">K17/K11</f>
        <v>0.20950763810901</v>
      </c>
      <c r="M53" s="6"/>
      <c r="N53" s="28" t="n">
        <f aca="false">LN(N52/O52)</f>
        <v>-2.98394666573773</v>
      </c>
      <c r="O53" s="28" t="n">
        <f aca="false">LN(O52/P52)</f>
        <v>-0.378821727209068</v>
      </c>
      <c r="P53" s="28" t="n">
        <f aca="false">LN(P52/Q52)</f>
        <v>0.479972197709366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15.5496248087617</v>
      </c>
      <c r="C54" s="30" t="n">
        <f aca="false">I11/C12</f>
        <v>16.5738728074895</v>
      </c>
      <c r="D54" s="30" t="n">
        <f aca="false">J11/D12</f>
        <v>21.0231306371836</v>
      </c>
      <c r="E54" s="30" t="n">
        <f aca="false">K11/E12</f>
        <v>27.4288728308455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0.618297189641252</v>
      </c>
      <c r="C55" s="31" t="n">
        <f aca="false">(C22-C20)/C16</f>
        <v>0.626220198508056</v>
      </c>
      <c r="D55" s="31" t="n">
        <f aca="false">(D22-D20)/D16</f>
        <v>0.646285113959121</v>
      </c>
      <c r="E55" s="31" t="n">
        <f aca="false">(E22-E20)/E16</f>
        <v>0.672952833761597</v>
      </c>
      <c r="G55" s="29" t="s">
        <v>66</v>
      </c>
      <c r="H55" s="63" t="n">
        <f aca="false">H22/H11</f>
        <v>0.143822288300501</v>
      </c>
      <c r="I55" s="63" t="n">
        <f aca="false">I22/I11</f>
        <v>0.14691016160134</v>
      </c>
      <c r="J55" s="63" t="n">
        <f aca="false">J22/J11</f>
        <v>0.135070893276037</v>
      </c>
      <c r="K55" s="63" t="n">
        <f aca="false">K22/K11</f>
        <v>0.107764257034291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1.61983923843824</v>
      </c>
      <c r="C56" s="31" t="n">
        <f aca="false">(C22-C20)/C20</f>
        <v>1.67537195966313</v>
      </c>
      <c r="D56" s="31" t="n">
        <f aca="false">(D22-D20)/D20</f>
        <v>1.82713575103658</v>
      </c>
      <c r="E56" s="31" t="n">
        <f aca="false">(E22-E20)/E20</f>
        <v>2.05766294049172</v>
      </c>
      <c r="G56" s="33" t="s">
        <v>68</v>
      </c>
      <c r="H56" s="34" t="n">
        <f aca="false">H13/B16</f>
        <v>0.126425513229493</v>
      </c>
      <c r="I56" s="34" t="n">
        <f aca="false">I13/C16</f>
        <v>0.146276541540681</v>
      </c>
      <c r="J56" s="34" t="n">
        <f aca="false">J13/D16</f>
        <v>0.147525113773179</v>
      </c>
      <c r="K56" s="34" t="n">
        <f aca="false">K13/E16</f>
        <v>0.138356489112424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0.238682560000716</v>
      </c>
      <c r="C57" s="30" t="n">
        <f aca="false">I11/C16</f>
        <v>0.236909916135326</v>
      </c>
      <c r="D57" s="30" t="n">
        <f aca="false">J11/D16</f>
        <v>0.22392513980504</v>
      </c>
      <c r="E57" s="30" t="n">
        <f aca="false">K11/E16</f>
        <v>0.20579760502218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2.61983923843824</v>
      </c>
      <c r="C58" s="30" t="n">
        <f aca="false">C16/C20</f>
        <v>2.67537195966313</v>
      </c>
      <c r="D58" s="30" t="n">
        <f aca="false">D16/D20</f>
        <v>2.82713575103658</v>
      </c>
      <c r="E58" s="30" t="n">
        <f aca="false">E16/E20</f>
        <v>3.05766294049172</v>
      </c>
      <c r="G58" s="36" t="s">
        <v>72</v>
      </c>
      <c r="H58" s="37" t="n">
        <f aca="false">H22/$B$7/1000</f>
        <v>1.12647287961987</v>
      </c>
      <c r="I58" s="37" t="n">
        <f aca="false">I22/$B$7/1000</f>
        <v>1.10710956284493</v>
      </c>
      <c r="J58" s="37" t="n">
        <f aca="false">J22/$B$7/1000</f>
        <v>0.955053093590763</v>
      </c>
      <c r="K58" s="37" t="n">
        <f aca="false">K22/$B$7/1000</f>
        <v>0.685483431502169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12.5256195457111</v>
      </c>
      <c r="I59" s="37" t="n">
        <f aca="false">C20/$B$7/1000</f>
        <v>11.8897125658128</v>
      </c>
      <c r="J59" s="37" t="n">
        <f aca="false">D20/$B$7/1000</f>
        <v>11.1690497918945</v>
      </c>
      <c r="K59" s="37" t="n">
        <f aca="false">E20/$B$7/1000</f>
        <v>10.1086299195928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17.8176833839393</v>
      </c>
      <c r="I60" s="38" t="n">
        <f aca="false">SQRT(22.5*I58*I59)</f>
        <v>17.2096579229367</v>
      </c>
      <c r="J60" s="38" t="n">
        <f aca="false">SQRT(22.5*J58*J59)</f>
        <v>15.4922012643429</v>
      </c>
      <c r="K60" s="38" t="n">
        <f aca="false">SQRT(22.5*K58*K59)</f>
        <v>12.4863610517248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0.124423315962982</v>
      </c>
      <c r="I61" s="39" t="n">
        <f aca="false">I58-(C20*0.08/1000/$B$7)</f>
        <v>0.155932557579905</v>
      </c>
      <c r="J61" s="39" t="n">
        <f aca="false">J58-(D20*0.08/1000/$B$7)</f>
        <v>0.0615291102392033</v>
      </c>
      <c r="K61" s="39" t="n">
        <f aca="false">K58-(E20*0.08/1000/$B$7)</f>
        <v>-0.123206962065256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0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1.16567479653446</v>
      </c>
      <c r="I65" s="6" t="n">
        <f aca="false">J51/I51</f>
        <v>1.06701778816265</v>
      </c>
      <c r="J65" s="6" t="n">
        <f aca="false">K51/J51</f>
        <v>1.02046029727763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1.03933554515293</v>
      </c>
      <c r="I66" s="6" t="n">
        <f aca="false">I11/J11</f>
        <v>1.06579338883007</v>
      </c>
      <c r="J66" s="6" t="n">
        <f aca="false">J11/K11</f>
        <v>1.11158715751581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-0.25219411766545</v>
      </c>
      <c r="I67" s="6" t="n">
        <f aca="false">(O13/I11)/(P13/J11)</f>
        <v>-38.0970307190199</v>
      </c>
      <c r="J67" s="6" t="n">
        <f aca="false">(P13/J11)/(Q13/K11)</f>
        <v>-0.156439558802809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-1.04700628613849</v>
      </c>
      <c r="I68" s="6" t="n">
        <f aca="false">I52/J52</f>
        <v>-0.951592857713101</v>
      </c>
      <c r="J68" s="6" t="n">
        <f aca="false">J52/K52</f>
        <v>0.994889209596099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-0.470400174712896</v>
      </c>
      <c r="I69" s="6" t="n">
        <f aca="false">I53/J53</f>
        <v>-0.949064269334648</v>
      </c>
      <c r="J69" s="6" t="n">
        <f aca="false">J53/K53</f>
        <v>0.935772881908319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0.979242990484254</v>
      </c>
      <c r="I70" s="6" t="n">
        <f aca="false">C58/D58</f>
        <v>0.946318887829209</v>
      </c>
      <c r="J70" s="6" t="n">
        <f aca="false">D58/E58</f>
        <v>0.924606735947794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0.807804505592028</v>
      </c>
      <c r="I71" s="6" t="n">
        <f aca="false">((1-C11)/C16)/((1-D11)/D16)</f>
        <v>0.983383068729392</v>
      </c>
      <c r="J71" s="6" t="n">
        <f aca="false">((1-D11)/D16)/((1-E11)/E16)</f>
        <v>1.1754828558801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-0.0390782780746989</v>
      </c>
      <c r="I72" s="6" t="n">
        <f aca="false">((I13-I16-I17)-O24)/C16</f>
        <v>0.135727027774285</v>
      </c>
      <c r="J72" s="6" t="n">
        <f aca="false">((J13-J16-J17)-P24)/D16</f>
        <v>-0.0413375883030171</v>
      </c>
      <c r="K72" s="6" t="n">
        <f aca="false">((K13-K16-K17)-Q24)/E16</f>
        <v>-0.0254156227207483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-3.5808760380278</v>
      </c>
      <c r="I73" s="6" t="n">
        <f aca="false">-4.84 + 0.92 *I67  + 0.528 *I65 + 0.404 *I71 + 0.892 *I66 + 0.115 *I69 - 0.172 *I68- 0.327 *I70 + 4.697 *I72</f>
        <v>-37.5953132530565</v>
      </c>
      <c r="J73" s="6" t="n">
        <f aca="false">-4.84 + 0.92 *J67  + 0.528 *J65 + 0.404 *J71 + 0.892 *J66 + 0.115 *J69 - 0.172 *J68- 0.327 *J70 + 4.697 *J72</f>
        <v>-3.5387066564016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0.00115977957232853</v>
      </c>
      <c r="I75" s="6" t="n">
        <f aca="false">I59*$B$7/$B$5</f>
        <v>0.00110089929718559</v>
      </c>
      <c r="J75" s="6" t="n">
        <f aca="false">J59*$B$7/$B$5</f>
        <v>0.00103417126344021</v>
      </c>
      <c r="K75" s="6" t="n">
        <f aca="false">K59*$B$7/$B$5</f>
        <v>0.000935984239517081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e">
        <f aca="false">(H15-H16)/$B$6</f>
        <v>#DIV/0!</v>
      </c>
      <c r="I78" s="75" t="e">
        <f aca="false">(I15-I16)/$B$6</f>
        <v>#DIV/0!</v>
      </c>
      <c r="J78" s="75" t="e">
        <f aca="false">(J15-J16)/$B$6</f>
        <v>#DIV/0!</v>
      </c>
      <c r="K78" s="75" t="e">
        <f aca="false">(K15-K16)/$B$6</f>
        <v>#DIV/0!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0</v>
      </c>
      <c r="I79" s="75" t="n">
        <f aca="false">$B$6/(I15-I16)</f>
        <v>0</v>
      </c>
      <c r="J79" s="75" t="n">
        <f aca="false">$B$6/(J15-J16)</f>
        <v>0</v>
      </c>
      <c r="K79" s="75" t="n">
        <f aca="false">$B$6/(K15-K16)</f>
        <v>0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6004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IFERROR(__xludf.dummyfunction("GoogleFinance(""TADAWUL:""&amp;B1,""eps"")"),"5.98")</f>
        <v>5.98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IFERROR(__xludf.dummyfunction("GoogleFinance(""TADAWUL:""&amp;B1,""marketcap"")/1000"),"6,321,476.08")</f>
        <v>6,321,476.08</v>
      </c>
      <c r="C5" s="6" t="n">
        <f aca="false">H11/1000/B7</f>
        <v>27.538125223729</v>
      </c>
      <c r="D5" s="6" t="n">
        <f aca="false">100/C5</f>
        <v>3.63132926397735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B5+(B22-B20)-P23</f>
        <v>5958452.08</v>
      </c>
      <c r="C6" s="28" t="n">
        <f aca="false">H20/B6</f>
        <v>0.117228600754309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IFERROR(__xludf.dummyfunction("GoogleFinance(""TADAWUL:""&amp;B1,""shares"")/1000000"),"82.097092")</f>
        <v>82.097092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42369</v>
      </c>
      <c r="C10" s="8" t="n">
        <v>42004</v>
      </c>
      <c r="D10" s="8" t="n">
        <v>41639</v>
      </c>
      <c r="E10" s="8" t="n">
        <v>41274</v>
      </c>
      <c r="G10" s="7" t="s">
        <v>4</v>
      </c>
      <c r="H10" s="8" t="n">
        <v>42369</v>
      </c>
      <c r="I10" s="8" t="n">
        <v>42004</v>
      </c>
      <c r="J10" s="8" t="n">
        <v>41639</v>
      </c>
      <c r="K10" s="8" t="n">
        <v>41274</v>
      </c>
      <c r="M10" s="7" t="s">
        <v>5</v>
      </c>
      <c r="N10" s="8" t="n">
        <v>42369</v>
      </c>
      <c r="O10" s="8" t="n">
        <v>42004</v>
      </c>
      <c r="P10" s="8" t="n">
        <v>41639</v>
      </c>
      <c r="Q10" s="8" t="n">
        <v>41274</v>
      </c>
    </row>
    <row r="11" customFormat="false" ht="15" hidden="false" customHeight="false" outlineLevel="0" collapsed="false">
      <c r="A11" s="10" t="s">
        <v>6</v>
      </c>
      <c r="B11" s="11" t="n">
        <v>1192983</v>
      </c>
      <c r="C11" s="11" t="n">
        <v>1380896</v>
      </c>
      <c r="D11" s="11" t="n">
        <v>1374112</v>
      </c>
      <c r="E11" s="11" t="n">
        <v>1393446</v>
      </c>
      <c r="G11" s="10" t="s">
        <v>7</v>
      </c>
      <c r="H11" s="11" t="n">
        <v>2260800</v>
      </c>
      <c r="I11" s="11" t="n">
        <v>2135940</v>
      </c>
      <c r="J11" s="11" t="n">
        <v>1867498</v>
      </c>
      <c r="K11" s="11" t="n">
        <v>1599231</v>
      </c>
      <c r="M11" s="10" t="s">
        <v>8</v>
      </c>
      <c r="N11" s="11" t="n">
        <v>698501</v>
      </c>
      <c r="O11" s="11" t="n">
        <v>653932</v>
      </c>
      <c r="P11" s="11" t="n">
        <v>569352</v>
      </c>
      <c r="Q11" s="11" t="n">
        <v>487051</v>
      </c>
    </row>
    <row r="12" customFormat="false" ht="15" hidden="false" customHeight="false" outlineLevel="0" collapsed="false">
      <c r="A12" s="10" t="s">
        <v>9</v>
      </c>
      <c r="B12" s="11" t="n">
        <v>142376</v>
      </c>
      <c r="C12" s="11" t="n">
        <v>86753</v>
      </c>
      <c r="D12" s="11" t="n">
        <v>76630</v>
      </c>
      <c r="E12" s="11" t="n">
        <v>73280</v>
      </c>
      <c r="G12" s="10" t="s">
        <v>10</v>
      </c>
      <c r="H12" s="11" t="n">
        <v>1415776</v>
      </c>
      <c r="I12" s="11" t="n">
        <v>1346074</v>
      </c>
      <c r="J12" s="11" t="n">
        <v>1162742</v>
      </c>
      <c r="K12" s="11" t="n">
        <v>1059393</v>
      </c>
      <c r="M12" s="10" t="s">
        <v>11</v>
      </c>
      <c r="N12" s="11" t="n">
        <v>24661</v>
      </c>
      <c r="O12" s="11" t="n">
        <v>18500</v>
      </c>
      <c r="P12" s="11" t="n">
        <v>15494</v>
      </c>
      <c r="Q12" s="11" t="n">
        <v>15859</v>
      </c>
    </row>
    <row r="13" customFormat="false" ht="15" hidden="false" customHeight="false" outlineLevel="0" collapsed="false">
      <c r="A13" s="10" t="s">
        <v>12</v>
      </c>
      <c r="B13" s="11" t="n">
        <v>40000</v>
      </c>
      <c r="C13" s="11" t="n">
        <v>140000</v>
      </c>
      <c r="D13" s="11" t="n">
        <v>140000</v>
      </c>
      <c r="E13" s="18"/>
      <c r="G13" s="10" t="s">
        <v>13</v>
      </c>
      <c r="H13" s="11" t="n">
        <v>845024</v>
      </c>
      <c r="I13" s="11" t="n">
        <v>789866</v>
      </c>
      <c r="J13" s="11" t="n">
        <v>704756</v>
      </c>
      <c r="K13" s="11" t="n">
        <v>539838</v>
      </c>
      <c r="M13" s="10" t="s">
        <v>14</v>
      </c>
      <c r="N13" s="11" t="n">
        <v>12543</v>
      </c>
      <c r="O13" s="11" t="n">
        <v>1929</v>
      </c>
      <c r="P13" s="11" t="n">
        <v>4487</v>
      </c>
      <c r="Q13" s="13" t="n">
        <v>-4056</v>
      </c>
    </row>
    <row r="14" customFormat="false" ht="15" hidden="false" customHeight="false" outlineLevel="0" collapsed="false">
      <c r="A14" s="10" t="s">
        <v>15</v>
      </c>
      <c r="B14" s="11" t="n">
        <v>458054</v>
      </c>
      <c r="C14" s="11" t="n">
        <v>191497</v>
      </c>
      <c r="D14" s="11" t="n">
        <v>98120</v>
      </c>
      <c r="E14" s="11" t="n">
        <v>90046</v>
      </c>
      <c r="G14" s="10" t="s">
        <v>16</v>
      </c>
      <c r="H14" s="11" t="n">
        <v>29589</v>
      </c>
      <c r="I14" s="11" t="n">
        <v>20608</v>
      </c>
      <c r="J14" s="11" t="n">
        <v>23541</v>
      </c>
      <c r="K14" s="11" t="n">
        <v>88161</v>
      </c>
      <c r="M14" s="10" t="s">
        <v>9</v>
      </c>
      <c r="N14" s="13" t="n">
        <v>-57476</v>
      </c>
      <c r="O14" s="13" t="n">
        <v>-12207</v>
      </c>
      <c r="P14" s="13" t="n">
        <v>-2067</v>
      </c>
      <c r="Q14" s="13" t="n">
        <v>-9276</v>
      </c>
    </row>
    <row r="15" customFormat="false" ht="15" hidden="false" customHeight="false" outlineLevel="0" collapsed="false">
      <c r="A15" s="10" t="s">
        <v>17</v>
      </c>
      <c r="B15" s="11" t="n">
        <v>14807</v>
      </c>
      <c r="C15" s="11" t="n">
        <v>10167</v>
      </c>
      <c r="D15" s="18"/>
      <c r="E15" s="18"/>
      <c r="G15" s="10" t="s">
        <v>18</v>
      </c>
      <c r="H15" s="11" t="n">
        <v>874613</v>
      </c>
      <c r="I15" s="11" t="n">
        <v>810474</v>
      </c>
      <c r="J15" s="11" t="n">
        <v>728297</v>
      </c>
      <c r="K15" s="11" t="n">
        <v>627999</v>
      </c>
      <c r="M15" s="10" t="s">
        <v>19</v>
      </c>
      <c r="N15" s="11" t="n">
        <v>20342</v>
      </c>
      <c r="O15" s="13" t="n">
        <v>-85006</v>
      </c>
      <c r="P15" s="13" t="n">
        <v>-6486</v>
      </c>
      <c r="Q15" s="13" t="n">
        <v>-31218</v>
      </c>
    </row>
    <row r="16" customFormat="false" ht="15" hidden="false" customHeight="false" outlineLevel="0" collapsed="false">
      <c r="A16" s="10" t="s">
        <v>20</v>
      </c>
      <c r="B16" s="11" t="n">
        <v>1848220</v>
      </c>
      <c r="C16" s="11" t="n">
        <v>1809313</v>
      </c>
      <c r="D16" s="11" t="n">
        <v>1688862</v>
      </c>
      <c r="E16" s="11" t="n">
        <v>1556772</v>
      </c>
      <c r="G16" s="10" t="s">
        <v>21</v>
      </c>
      <c r="H16" s="11" t="n">
        <v>155629</v>
      </c>
      <c r="I16" s="11" t="n">
        <v>141250</v>
      </c>
      <c r="J16" s="11" t="n">
        <v>146104</v>
      </c>
      <c r="K16" s="11" t="n">
        <v>121217</v>
      </c>
      <c r="M16" s="10" t="s">
        <v>22</v>
      </c>
      <c r="N16" s="11" t="n">
        <v>35078</v>
      </c>
      <c r="O16" s="11" t="n">
        <v>21954</v>
      </c>
      <c r="P16" s="13" t="n">
        <v>-5598</v>
      </c>
      <c r="Q16" s="11" t="n">
        <v>36050</v>
      </c>
    </row>
    <row r="17" customFormat="false" ht="15" hidden="false" customHeight="false" outlineLevel="0" collapsed="false">
      <c r="A17" s="10" t="s">
        <v>23</v>
      </c>
      <c r="B17" s="11" t="n">
        <v>384427</v>
      </c>
      <c r="C17" s="11" t="n">
        <v>459830</v>
      </c>
      <c r="D17" s="11" t="n">
        <v>417826</v>
      </c>
      <c r="E17" s="11" t="n">
        <v>389641</v>
      </c>
      <c r="G17" s="10" t="s">
        <v>11</v>
      </c>
      <c r="H17" s="11" t="n">
        <v>20483</v>
      </c>
      <c r="I17" s="11" t="n">
        <v>15292</v>
      </c>
      <c r="J17" s="11" t="n">
        <v>12841</v>
      </c>
      <c r="K17" s="18"/>
      <c r="M17" s="10" t="s">
        <v>24</v>
      </c>
      <c r="N17" s="13" t="n">
        <v>-153015</v>
      </c>
      <c r="O17" s="13" t="n">
        <v>-112019</v>
      </c>
      <c r="P17" s="13" t="n">
        <v>-74737</v>
      </c>
      <c r="Q17" s="11" t="n">
        <v>291772</v>
      </c>
    </row>
    <row r="18" customFormat="false" ht="15" hidden="false" customHeight="false" outlineLevel="0" collapsed="false">
      <c r="A18" s="10" t="s">
        <v>25</v>
      </c>
      <c r="B18" s="11" t="n">
        <v>145633</v>
      </c>
      <c r="C18" s="11" t="n">
        <v>123776</v>
      </c>
      <c r="D18" s="11" t="n">
        <v>112407</v>
      </c>
      <c r="E18" s="11" t="n">
        <v>105433</v>
      </c>
      <c r="G18" s="10" t="s">
        <v>26</v>
      </c>
      <c r="H18" s="18"/>
      <c r="I18" s="18"/>
      <c r="J18" s="18"/>
      <c r="K18" s="11" t="n">
        <v>19731</v>
      </c>
      <c r="M18" s="10" t="s">
        <v>27</v>
      </c>
      <c r="N18" s="13" t="n">
        <v>-291587</v>
      </c>
      <c r="O18" s="13" t="n">
        <v>-112036</v>
      </c>
      <c r="P18" s="13" t="n">
        <v>-24138</v>
      </c>
      <c r="Q18" s="13" t="n">
        <v>-20366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176112</v>
      </c>
      <c r="I19" s="11" t="n">
        <v>156542</v>
      </c>
      <c r="J19" s="11" t="n">
        <v>158945</v>
      </c>
      <c r="K19" s="11" t="n">
        <v>140948</v>
      </c>
      <c r="M19" s="10" t="s">
        <v>30</v>
      </c>
      <c r="N19" s="11" t="n">
        <v>103574</v>
      </c>
      <c r="O19" s="11" t="n">
        <v>3098</v>
      </c>
      <c r="P19" s="13" t="n">
        <v>-138318</v>
      </c>
      <c r="Q19" s="11" t="n">
        <v>169</v>
      </c>
    </row>
    <row r="20" customFormat="false" ht="15" hidden="false" customHeight="false" outlineLevel="0" collapsed="false">
      <c r="A20" s="10" t="s">
        <v>31</v>
      </c>
      <c r="B20" s="11" t="n">
        <v>1318160</v>
      </c>
      <c r="C20" s="11" t="n">
        <v>1225707</v>
      </c>
      <c r="D20" s="11" t="n">
        <v>1158629</v>
      </c>
      <c r="E20" s="11" t="n">
        <v>1061698</v>
      </c>
      <c r="G20" s="10" t="s">
        <v>32</v>
      </c>
      <c r="H20" s="11" t="n">
        <v>698501</v>
      </c>
      <c r="I20" s="11" t="n">
        <v>653932</v>
      </c>
      <c r="J20" s="11" t="n">
        <v>569352</v>
      </c>
      <c r="K20" s="11" t="n">
        <v>487051</v>
      </c>
      <c r="M20" s="10" t="s">
        <v>33</v>
      </c>
      <c r="N20" s="18"/>
      <c r="O20" s="18"/>
      <c r="P20" s="18"/>
      <c r="Q20" s="18"/>
    </row>
    <row r="21" customFormat="false" ht="15" hidden="false" customHeight="false" outlineLevel="0" collapsed="false">
      <c r="A21" s="10" t="s">
        <v>34</v>
      </c>
      <c r="B21" s="18"/>
      <c r="C21" s="15"/>
      <c r="D21" s="18"/>
      <c r="E21" s="15"/>
      <c r="G21" s="10" t="s">
        <v>35</v>
      </c>
      <c r="H21" s="18"/>
      <c r="I21" s="18"/>
      <c r="J21" s="18"/>
      <c r="K21" s="18"/>
      <c r="M21" s="10" t="s">
        <v>36</v>
      </c>
      <c r="N21" s="13" t="n">
        <v>-564898</v>
      </c>
      <c r="O21" s="13" t="n">
        <v>-584053</v>
      </c>
      <c r="P21" s="13" t="n">
        <v>-467027</v>
      </c>
      <c r="Q21" s="13" t="n">
        <v>-398916</v>
      </c>
    </row>
    <row r="22" customFormat="false" ht="15" hidden="false" customHeight="false" outlineLevel="0" collapsed="false">
      <c r="A22" s="10" t="s">
        <v>37</v>
      </c>
      <c r="B22" s="11" t="n">
        <v>1848220</v>
      </c>
      <c r="C22" s="11" t="n">
        <v>1809313</v>
      </c>
      <c r="D22" s="11" t="n">
        <v>1688862</v>
      </c>
      <c r="E22" s="11" t="n">
        <v>1556772</v>
      </c>
      <c r="G22" s="10" t="s">
        <v>8</v>
      </c>
      <c r="H22" s="11" t="n">
        <v>698501</v>
      </c>
      <c r="I22" s="11" t="n">
        <v>653932</v>
      </c>
      <c r="J22" s="11" t="n">
        <v>569352</v>
      </c>
      <c r="K22" s="11" t="n">
        <v>487051</v>
      </c>
      <c r="M22" s="10" t="s">
        <v>38</v>
      </c>
      <c r="N22" s="11" t="n">
        <v>476526</v>
      </c>
      <c r="O22" s="11" t="n">
        <v>882816</v>
      </c>
      <c r="P22" s="11" t="n">
        <v>1022122</v>
      </c>
      <c r="Q22" s="11" t="n">
        <v>655053</v>
      </c>
    </row>
    <row r="23" customFormat="false" ht="15" hidden="false" customHeight="false" outlineLevel="0" collapsed="false">
      <c r="A23" s="6"/>
      <c r="B23" s="4" t="n">
        <f aca="false">B11+B12</f>
        <v>1335359</v>
      </c>
      <c r="C23" s="4" t="n">
        <f aca="false">C11+C12</f>
        <v>1467649</v>
      </c>
      <c r="D23" s="4" t="n">
        <f aca="false">D11+D12</f>
        <v>1450742</v>
      </c>
      <c r="E23" s="4" t="n">
        <f aca="false">E11+E12</f>
        <v>1466726</v>
      </c>
      <c r="G23" s="10" t="s">
        <v>39</v>
      </c>
      <c r="H23" s="18"/>
      <c r="I23" s="18"/>
      <c r="J23" s="18"/>
      <c r="K23" s="18"/>
      <c r="M23" s="10" t="s">
        <v>40</v>
      </c>
      <c r="N23" s="11" t="n">
        <v>304249</v>
      </c>
      <c r="O23" s="11" t="n">
        <v>676908</v>
      </c>
      <c r="P23" s="11" t="n">
        <v>893084</v>
      </c>
      <c r="Q23" s="11" t="n">
        <v>1022122</v>
      </c>
    </row>
    <row r="24" customFormat="false" ht="15" hidden="false" customHeight="false" outlineLevel="0" collapsed="false">
      <c r="A24" s="6"/>
      <c r="B24" s="6" t="n">
        <f aca="false">B16/(B22-B20)</f>
        <v>3.48681281364374</v>
      </c>
      <c r="C24" s="6" t="n">
        <f aca="false">C16/(C22-C20)</f>
        <v>3.10023029235477</v>
      </c>
      <c r="D24" s="6" t="n">
        <f aca="false">D16/(D22-D20)</f>
        <v>3.18513181940769</v>
      </c>
      <c r="E24" s="6" t="n">
        <f aca="false">E16/(E22-E20)</f>
        <v>3.14452384895995</v>
      </c>
      <c r="G24" s="10" t="s">
        <v>41</v>
      </c>
      <c r="H24" s="18"/>
      <c r="I24" s="18"/>
      <c r="J24" s="18"/>
      <c r="K24" s="18"/>
      <c r="M24" s="2" t="s">
        <v>42</v>
      </c>
      <c r="N24" s="12" t="n">
        <f aca="false">SUM(N11:N17)</f>
        <v>580634</v>
      </c>
      <c r="O24" s="12" t="n">
        <f aca="false">SUM(O11:O17)</f>
        <v>487083</v>
      </c>
      <c r="P24" s="12" t="n">
        <f aca="false">SUM(P11:P17)</f>
        <v>500445</v>
      </c>
      <c r="Q24" s="12" t="n">
        <f aca="false">SUM(Q11:Q17)</f>
        <v>786182</v>
      </c>
    </row>
    <row r="25" customFormat="false" ht="15" hidden="false" customHeight="false" outlineLevel="0" collapsed="false">
      <c r="A25" s="6"/>
      <c r="B25" s="6" t="n">
        <f aca="false">B24/B5*1000</f>
        <v>0.000551582062403966</v>
      </c>
      <c r="G25" s="10" t="s">
        <v>43</v>
      </c>
      <c r="H25" s="18"/>
      <c r="I25" s="18"/>
      <c r="J25" s="18"/>
      <c r="K25" s="18"/>
      <c r="M25" s="2" t="s">
        <v>44</v>
      </c>
      <c r="N25" s="12" t="n">
        <f aca="false">N18+N19</f>
        <v>-188013</v>
      </c>
      <c r="O25" s="12" t="n">
        <f aca="false">O18+O19</f>
        <v>-108938</v>
      </c>
      <c r="P25" s="12" t="n">
        <f aca="false">P18+P19</f>
        <v>-162456</v>
      </c>
      <c r="Q25" s="12" t="n">
        <f aca="false">Q18+Q19</f>
        <v>-20197</v>
      </c>
    </row>
    <row r="26" customFormat="false" ht="15" hidden="false" customHeight="false" outlineLevel="0" collapsed="false">
      <c r="A26" s="6"/>
      <c r="B26" s="4" t="n">
        <f aca="false">B23-B17</f>
        <v>950932</v>
      </c>
      <c r="C26" s="4" t="n">
        <f aca="false">C23-C17</f>
        <v>1007819</v>
      </c>
      <c r="G26" s="10" t="s">
        <v>45</v>
      </c>
      <c r="H26" s="18"/>
      <c r="I26" s="18"/>
      <c r="J26" s="18"/>
      <c r="K26" s="18"/>
      <c r="M26" s="2" t="s">
        <v>46</v>
      </c>
      <c r="N26" s="12" t="n">
        <f aca="false">N20+N21</f>
        <v>-564898</v>
      </c>
      <c r="O26" s="12" t="n">
        <f aca="false">O20+O21</f>
        <v>-584053</v>
      </c>
      <c r="P26" s="12" t="n">
        <f aca="false">P20+P21</f>
        <v>-467027</v>
      </c>
      <c r="Q26" s="12" t="n">
        <f aca="false">Q20+Q21</f>
        <v>-398916</v>
      </c>
    </row>
    <row r="27" customFormat="false" ht="15" hidden="false" customHeight="false" outlineLevel="0" collapsed="false">
      <c r="A27" s="6"/>
      <c r="B27" s="6" t="n">
        <f aca="false">B22/90000</f>
        <v>20.5357777777778</v>
      </c>
      <c r="F27" s="6" t="n">
        <f aca="false">H20*0.025</f>
        <v>17462.525</v>
      </c>
      <c r="G27" s="10" t="s">
        <v>47</v>
      </c>
      <c r="H27" s="18"/>
      <c r="I27" s="18"/>
      <c r="J27" s="18"/>
      <c r="K27" s="18"/>
      <c r="M27" s="2" t="s">
        <v>115</v>
      </c>
      <c r="N27" s="12" t="n">
        <f aca="false">N24+N18</f>
        <v>289047</v>
      </c>
      <c r="O27" s="12" t="n">
        <f aca="false">O24+O18</f>
        <v>375047</v>
      </c>
      <c r="P27" s="12" t="n">
        <f aca="false">P24+P18</f>
        <v>476307</v>
      </c>
      <c r="Q27" s="12" t="n">
        <f aca="false">Q24+Q18</f>
        <v>765816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112510</v>
      </c>
      <c r="O28" s="12" t="n">
        <f aca="false">(D11-C11)+(C17-D17)</f>
        <v>35220</v>
      </c>
      <c r="P28" s="12" t="n">
        <f aca="false">(E11-D11)+(D17-E17)</f>
        <v>47519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0.645476728960838</v>
      </c>
      <c r="C30" s="24" t="n">
        <f aca="false">C11/C$16</f>
        <v>0.763215651465501</v>
      </c>
      <c r="D30" s="24" t="n">
        <f aca="false">D11/D$16</f>
        <v>0.813631901244743</v>
      </c>
      <c r="E30" s="24" t="n">
        <f aca="false">E11/E$16</f>
        <v>0.895086756442177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0.308961871903751</v>
      </c>
      <c r="O30" s="26" t="n">
        <f aca="false">O11/I$11</f>
        <v>0.306156539977715</v>
      </c>
      <c r="P30" s="26" t="n">
        <f aca="false">P11/J$11</f>
        <v>0.30487422208752</v>
      </c>
      <c r="Q30" s="26" t="n">
        <f aca="false">Q11/K$11</f>
        <v>0.304553250906217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0.0770341193148002</v>
      </c>
      <c r="C31" s="24" t="n">
        <f aca="false">C12/C$16</f>
        <v>0.0479480333143022</v>
      </c>
      <c r="D31" s="24" t="n">
        <f aca="false">D12/D$16</f>
        <v>0.0453737487136308</v>
      </c>
      <c r="E31" s="24" t="n">
        <f aca="false">E12/E$16</f>
        <v>0.0470717613112261</v>
      </c>
      <c r="F31" s="6"/>
      <c r="G31" s="25" t="s">
        <v>10</v>
      </c>
      <c r="H31" s="24" t="n">
        <f aca="false">H12/H$11</f>
        <v>0.62622788393489</v>
      </c>
      <c r="I31" s="24" t="n">
        <f aca="false">I12/I$11</f>
        <v>0.630202159236683</v>
      </c>
      <c r="J31" s="24" t="n">
        <f aca="false">J12/J$11</f>
        <v>0.622620211641458</v>
      </c>
      <c r="K31" s="24" t="n">
        <f aca="false">K12/K$11</f>
        <v>0.662439009749061</v>
      </c>
      <c r="L31" s="6"/>
      <c r="M31" s="25" t="s">
        <v>11</v>
      </c>
      <c r="N31" s="26" t="n">
        <f aca="false">N12/H$11</f>
        <v>0.0109080856334041</v>
      </c>
      <c r="O31" s="26" t="n">
        <f aca="false">O12/I$11</f>
        <v>0.00866129198385723</v>
      </c>
      <c r="P31" s="26" t="n">
        <f aca="false">P12/J$11</f>
        <v>0.00829666216510004</v>
      </c>
      <c r="Q31" s="26" t="n">
        <f aca="false">Q12/K$11</f>
        <v>0.00991664118566986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0.0216424451634546</v>
      </c>
      <c r="C32" s="24" t="n">
        <f aca="false">C13/C$16</f>
        <v>0.0773774355238701</v>
      </c>
      <c r="D32" s="24" t="n">
        <f aca="false">D13/D$16</f>
        <v>0.0828960566345859</v>
      </c>
      <c r="E32" s="24" t="n">
        <f aca="false">E13/E$16</f>
        <v>0</v>
      </c>
      <c r="F32" s="6"/>
      <c r="G32" s="25" t="s">
        <v>13</v>
      </c>
      <c r="H32" s="24" t="n">
        <f aca="false">H13/H$11</f>
        <v>0.37377211606511</v>
      </c>
      <c r="I32" s="24" t="n">
        <f aca="false">I13/I$11</f>
        <v>0.369797840763317</v>
      </c>
      <c r="J32" s="24" t="n">
        <f aca="false">J13/J$11</f>
        <v>0.377379788358542</v>
      </c>
      <c r="K32" s="24" t="n">
        <f aca="false">K13/K$11</f>
        <v>0.337560990250939</v>
      </c>
      <c r="L32" s="6"/>
      <c r="M32" s="25" t="s">
        <v>14</v>
      </c>
      <c r="N32" s="26" t="n">
        <f aca="false">N13/H$11</f>
        <v>0.00554803609341826</v>
      </c>
      <c r="O32" s="26" t="n">
        <f aca="false">O13/I$11</f>
        <v>0.000903115256046518</v>
      </c>
      <c r="P32" s="26" t="n">
        <f aca="false">P13/J$11</f>
        <v>0.00240267994932257</v>
      </c>
      <c r="Q32" s="26" t="n">
        <f aca="false">Q13/K$11</f>
        <v>-0.00253621897024257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0.247835214422525</v>
      </c>
      <c r="C33" s="24" t="n">
        <f aca="false">C14/C$16</f>
        <v>0.10583961978939</v>
      </c>
      <c r="D33" s="24" t="n">
        <f aca="false">D14/D$16</f>
        <v>0.0580982934070398</v>
      </c>
      <c r="E33" s="24" t="n">
        <f aca="false">E14/E$16</f>
        <v>0.0578414822465974</v>
      </c>
      <c r="F33" s="6"/>
      <c r="G33" s="25" t="s">
        <v>16</v>
      </c>
      <c r="H33" s="24" t="n">
        <f aca="false">H14/H$11</f>
        <v>0.0130878450106157</v>
      </c>
      <c r="I33" s="24" t="n">
        <f aca="false">I14/I$11</f>
        <v>0.00964821109207188</v>
      </c>
      <c r="J33" s="24" t="n">
        <f aca="false">J14/J$11</f>
        <v>0.0126056359899716</v>
      </c>
      <c r="K33" s="24" t="n">
        <f aca="false">K14/K$11</f>
        <v>0.055127120472277</v>
      </c>
      <c r="L33" s="6"/>
      <c r="M33" s="25" t="s">
        <v>9</v>
      </c>
      <c r="N33" s="26" t="n">
        <f aca="false">N14/H$11</f>
        <v>-0.0254228591648974</v>
      </c>
      <c r="O33" s="26" t="n">
        <f aca="false">O14/I$11</f>
        <v>-0.00571504817551055</v>
      </c>
      <c r="P33" s="26" t="n">
        <f aca="false">P14/J$11</f>
        <v>-0.00110682849459544</v>
      </c>
      <c r="Q33" s="26" t="n">
        <f aca="false">Q14/K$11</f>
        <v>-0.00580028776330624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0.00801149213838179</v>
      </c>
      <c r="C34" s="24" t="n">
        <f aca="false">C15/C$16</f>
        <v>0.00561925990693705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0.386859961075725</v>
      </c>
      <c r="I34" s="24" t="n">
        <f aca="false">I15/I$11</f>
        <v>0.379446051855389</v>
      </c>
      <c r="J34" s="24" t="n">
        <f aca="false">J15/J$11</f>
        <v>0.389985424348513</v>
      </c>
      <c r="K34" s="24" t="n">
        <f aca="false">K15/K$11</f>
        <v>0.392688110723216</v>
      </c>
      <c r="L34" s="6"/>
      <c r="M34" s="25" t="s">
        <v>19</v>
      </c>
      <c r="N34" s="26" t="n">
        <f aca="false">N15/H$11</f>
        <v>0.00899769992922859</v>
      </c>
      <c r="O34" s="26" t="n">
        <f aca="false">O15/I$11</f>
        <v>-0.0397979343989063</v>
      </c>
      <c r="P34" s="26" t="n">
        <f aca="false">P15/J$11</f>
        <v>-0.0034730960889918</v>
      </c>
      <c r="Q34" s="26" t="n">
        <f aca="false">Q15/K$11</f>
        <v>-0.0195206321038049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0.0688380219391366</v>
      </c>
      <c r="I35" s="24" t="n">
        <f aca="false">I16/I$11</f>
        <v>0.0661301347416126</v>
      </c>
      <c r="J35" s="24" t="n">
        <f aca="false">J16/J$11</f>
        <v>0.0782351574138232</v>
      </c>
      <c r="K35" s="24" t="n">
        <f aca="false">K16/K$11</f>
        <v>0.0757970549595399</v>
      </c>
      <c r="L35" s="6"/>
      <c r="M35" s="25" t="s">
        <v>22</v>
      </c>
      <c r="N35" s="26" t="n">
        <f aca="false">N16/H$11</f>
        <v>0.0155157466383581</v>
      </c>
      <c r="O35" s="26" t="n">
        <f aca="false">O16/I$11</f>
        <v>0.0102783786061406</v>
      </c>
      <c r="P35" s="26" t="n">
        <f aca="false">P16/J$11</f>
        <v>-0.00299759357172002</v>
      </c>
      <c r="Q35" s="26" t="n">
        <f aca="false">Q16/K$11</f>
        <v>0.0225420842892615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0.207998506671284</v>
      </c>
      <c r="C36" s="24" t="n">
        <f aca="false">C17/C$16</f>
        <v>0.254146186978151</v>
      </c>
      <c r="D36" s="24" t="n">
        <f aca="false">D17/D$16</f>
        <v>0.247400912567161</v>
      </c>
      <c r="E36" s="24" t="n">
        <f aca="false">E17/E$16</f>
        <v>0.250287774959981</v>
      </c>
      <c r="F36" s="6"/>
      <c r="G36" s="25" t="s">
        <v>11</v>
      </c>
      <c r="H36" s="24" t="n">
        <f aca="false">H17/H$11</f>
        <v>0.00906006723283793</v>
      </c>
      <c r="I36" s="24" t="n">
        <f aca="false">I17/I$11</f>
        <v>0.00715937713606187</v>
      </c>
      <c r="J36" s="24" t="n">
        <f aca="false">J17/J$11</f>
        <v>0.00687604484716985</v>
      </c>
      <c r="K36" s="24" t="n">
        <f aca="false">K17/K$11</f>
        <v>0</v>
      </c>
      <c r="L36" s="6"/>
      <c r="M36" s="25" t="s">
        <v>24</v>
      </c>
      <c r="N36" s="26" t="n">
        <f aca="false">N17/H$11</f>
        <v>-0.0676817940552017</v>
      </c>
      <c r="O36" s="26" t="n">
        <f aca="false">O17/I$11</f>
        <v>-0.0524448252291731</v>
      </c>
      <c r="P36" s="26" t="n">
        <f aca="false">P17/J$11</f>
        <v>-0.0400198554429509</v>
      </c>
      <c r="Q36" s="26" t="n">
        <f aca="false">Q17/K$11</f>
        <v>0.182445187718347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0.0787963554122345</v>
      </c>
      <c r="C37" s="24" t="n">
        <f aca="false">C18/C$16</f>
        <v>0.0684104961385896</v>
      </c>
      <c r="D37" s="24" t="n">
        <f aca="false">D18/D$16</f>
        <v>0.0665578359865993</v>
      </c>
      <c r="E37" s="24" t="n">
        <f aca="false">E18/E$16</f>
        <v>0.0677253958832764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0.0123378048574596</v>
      </c>
      <c r="L37" s="6"/>
      <c r="M37" s="25" t="s">
        <v>27</v>
      </c>
      <c r="N37" s="26" t="n">
        <f aca="false">N18/H$11</f>
        <v>-0.128975141542817</v>
      </c>
      <c r="O37" s="26" t="n">
        <f aca="false">O18/I$11</f>
        <v>-0.0524527842542394</v>
      </c>
      <c r="P37" s="26" t="n">
        <f aca="false">P18/J$11</f>
        <v>-0.0129253150471915</v>
      </c>
      <c r="Q37" s="26" t="n">
        <f aca="false">Q18/K$11</f>
        <v>-0.0127348706972289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0.0778980891719745</v>
      </c>
      <c r="I38" s="24" t="n">
        <f aca="false">I19/I$11</f>
        <v>0.0732895118776745</v>
      </c>
      <c r="J38" s="24" t="n">
        <f aca="false">J19/J$11</f>
        <v>0.0851112022609931</v>
      </c>
      <c r="K38" s="24" t="n">
        <f aca="false">K19/K$11</f>
        <v>0.0881348598169996</v>
      </c>
      <c r="L38" s="6"/>
      <c r="M38" s="25" t="s">
        <v>30</v>
      </c>
      <c r="N38" s="26" t="n">
        <f aca="false">N19/H$11</f>
        <v>0.0458129865534324</v>
      </c>
      <c r="O38" s="26" t="n">
        <f aca="false">O19/I$11</f>
        <v>0.00145041527383728</v>
      </c>
      <c r="P38" s="26" t="n">
        <f aca="false">P19/J$11</f>
        <v>-0.0740659427747714</v>
      </c>
      <c r="Q38" s="26" t="n">
        <f aca="false">Q19/K$11</f>
        <v>0.000105675790426774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0.713205137916482</v>
      </c>
      <c r="C39" s="24" t="n">
        <f aca="false">C20/C$16</f>
        <v>0.677443316883259</v>
      </c>
      <c r="D39" s="24" t="n">
        <f aca="false">D20/D$16</f>
        <v>0.68604125144624</v>
      </c>
      <c r="E39" s="24" t="n">
        <f aca="false">E20/E$16</f>
        <v>0.681986829156742</v>
      </c>
      <c r="F39" s="6"/>
      <c r="G39" s="25" t="s">
        <v>32</v>
      </c>
      <c r="H39" s="24" t="n">
        <f aca="false">H20/H$11</f>
        <v>0.308961871903751</v>
      </c>
      <c r="I39" s="24" t="n">
        <f aca="false">I20/I$11</f>
        <v>0.306156539977715</v>
      </c>
      <c r="J39" s="24" t="n">
        <f aca="false">J20/J$11</f>
        <v>0.30487422208752</v>
      </c>
      <c r="K39" s="24" t="n">
        <f aca="false">K20/K$11</f>
        <v>0.304553250906217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</v>
      </c>
      <c r="I40" s="24" t="n">
        <f aca="false">I21/I$11</f>
        <v>0</v>
      </c>
      <c r="J40" s="24" t="n">
        <f aca="false">J21/J$11</f>
        <v>0</v>
      </c>
      <c r="K40" s="24" t="n">
        <f aca="false">K21/K$11</f>
        <v>0</v>
      </c>
      <c r="L40" s="6"/>
      <c r="M40" s="25" t="s">
        <v>36</v>
      </c>
      <c r="N40" s="26" t="n">
        <f aca="false">N21/H$11</f>
        <v>-0.249866418966737</v>
      </c>
      <c r="O40" s="26" t="n">
        <f aca="false">O21/I$11</f>
        <v>-0.273440733353933</v>
      </c>
      <c r="P40" s="26" t="n">
        <f aca="false">P21/J$11</f>
        <v>-0.25008166006068</v>
      </c>
      <c r="Q40" s="26" t="n">
        <f aca="false">Q21/K$11</f>
        <v>-0.249442388247852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0.308961871903751</v>
      </c>
      <c r="I41" s="24" t="n">
        <f aca="false">I22/I$11</f>
        <v>0.306156539977715</v>
      </c>
      <c r="J41" s="24" t="n">
        <f aca="false">J22/J$11</f>
        <v>0.30487422208752</v>
      </c>
      <c r="K41" s="24" t="n">
        <f aca="false">K22/K$11</f>
        <v>0.304553250906217</v>
      </c>
      <c r="L41" s="6"/>
      <c r="M41" s="25" t="s">
        <v>38</v>
      </c>
      <c r="N41" s="26" t="n">
        <f aca="false">N22/H$11</f>
        <v>0.210777600849257</v>
      </c>
      <c r="O41" s="26" t="n">
        <f aca="false">O22/I$11</f>
        <v>0.413314980757886</v>
      </c>
      <c r="P41" s="26" t="n">
        <f aca="false">P22/J$11</f>
        <v>0.547321603557273</v>
      </c>
      <c r="Q41" s="26" t="n">
        <f aca="false">Q22/K$11</f>
        <v>0.409604991398991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0.134575813871196</v>
      </c>
      <c r="O42" s="26" t="n">
        <f aca="false">O23/I$11</f>
        <v>0.31691339644372</v>
      </c>
      <c r="P42" s="26" t="n">
        <f aca="false">P23/J$11</f>
        <v>0.478224876278315</v>
      </c>
      <c r="Q42" s="26" t="n">
        <f aca="false">Q23/K$11</f>
        <v>0.639133433506479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0.256826786978061</v>
      </c>
      <c r="O43" s="26" t="n">
        <f aca="false">O24/I11</f>
        <v>0.228041518020169</v>
      </c>
      <c r="P43" s="26" t="n">
        <f aca="false">P24/J11</f>
        <v>0.267976190603685</v>
      </c>
      <c r="Q43" s="26" t="n">
        <f aca="false">Q24/K11</f>
        <v>0.491600025262142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0.314158487625932</v>
      </c>
      <c r="O44" s="26" t="n">
        <f aca="false">O24/C16</f>
        <v>0.269208810194809</v>
      </c>
      <c r="P44" s="26" t="n">
        <f aca="false">P24/D16</f>
        <v>0.296320836160681</v>
      </c>
      <c r="Q44" s="26" t="n">
        <f aca="false">Q24/E16</f>
        <v>0.505007798187532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0.440488256357347</v>
      </c>
      <c r="O45" s="26" t="n">
        <f aca="false">O24/C20</f>
        <v>0.397389425042037</v>
      </c>
      <c r="P45" s="26" t="n">
        <f aca="false">P24/D20</f>
        <v>0.43192859836928</v>
      </c>
      <c r="Q45" s="26" t="n">
        <f aca="false">Q24/E20</f>
        <v>0.740494943006392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</v>
      </c>
      <c r="L46" s="6"/>
      <c r="M46" s="2" t="s">
        <v>52</v>
      </c>
      <c r="N46" s="26" t="n">
        <f aca="false">N24/H22</f>
        <v>0.831257220820013</v>
      </c>
      <c r="O46" s="26" t="n">
        <f aca="false">O24/I22</f>
        <v>0.744852675813387</v>
      </c>
      <c r="P46" s="26" t="n">
        <f aca="false">P24/J22</f>
        <v>0.87897293765544</v>
      </c>
      <c r="Q46" s="26" t="n">
        <f aca="false">Q24/K22</f>
        <v>1.61416771549591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1.09541184016904</v>
      </c>
      <c r="O47" s="26" t="n">
        <f aca="false">O24/(C22-C20)</f>
        <v>0.834609308334733</v>
      </c>
      <c r="P47" s="26" t="n">
        <f aca="false">P24/(D22-D20)</f>
        <v>0.943820924008879</v>
      </c>
      <c r="Q47" s="26" t="n">
        <f aca="false">Q24/(E22-E20)</f>
        <v>1.58800906531145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1.99128904923745</v>
      </c>
      <c r="O49" s="26" t="n">
        <f aca="false">O24/(O18*-1)</f>
        <v>4.34755792780892</v>
      </c>
      <c r="P49" s="26" t="n">
        <f aca="false">P24/(P18*-1)</f>
        <v>20.7326621923937</v>
      </c>
      <c r="Q49" s="26" t="n">
        <f aca="false">Q24/(Q18*-1)</f>
        <v>38.6026711185309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0.0659332398190188</v>
      </c>
      <c r="I50" s="28" t="n">
        <f aca="false">LN(I15/J15)</f>
        <v>0.106910329663857</v>
      </c>
      <c r="J50" s="28" t="n">
        <f aca="false">LN(J22/K22)</f>
        <v>0.156130031636024</v>
      </c>
      <c r="M50" s="2" t="s">
        <v>117</v>
      </c>
      <c r="N50" s="32" t="n">
        <f aca="false">(H15-H16-N28-N25)/($B$6)</f>
        <v>0.13333781816703</v>
      </c>
      <c r="O50" s="32" t="n">
        <f aca="false">(I15-I16-O28-O25)/($B$6)</f>
        <v>0.124687081481068</v>
      </c>
      <c r="P50" s="32" t="n">
        <f aca="false">(J15-J16-P28-P25)/($B$6)</f>
        <v>0.116998507437858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3.47363478631834</v>
      </c>
      <c r="C51" s="30" t="n">
        <f aca="false">C23/C17</f>
        <v>3.19172085335885</v>
      </c>
      <c r="D51" s="30" t="n">
        <f aca="false">D23/D17</f>
        <v>3.47211997338605</v>
      </c>
      <c r="E51" s="30" t="n">
        <f aca="false">E23/E17</f>
        <v>3.76430098475263</v>
      </c>
      <c r="G51" s="29" t="s">
        <v>58</v>
      </c>
      <c r="H51" s="63" t="n">
        <f aca="false">H13/H11</f>
        <v>0.37377211606511</v>
      </c>
      <c r="I51" s="63" t="n">
        <f aca="false">I13/I11</f>
        <v>0.369797840763317</v>
      </c>
      <c r="J51" s="63" t="n">
        <f aca="false">J13/J11</f>
        <v>0.377379788358542</v>
      </c>
      <c r="K51" s="63" t="n">
        <f aca="false">K13/K11</f>
        <v>0.337560990250939</v>
      </c>
      <c r="M51" s="2" t="s">
        <v>59</v>
      </c>
      <c r="N51" s="32" t="n">
        <f aca="false">(N11-N24-N25)/B16</f>
        <v>0.165499778164937</v>
      </c>
      <c r="O51" s="32" t="n">
        <f aca="false">(O11-O24-O25)/C16</f>
        <v>0.15242636293444</v>
      </c>
      <c r="P51" s="32" t="n">
        <f aca="false">(P11-P24-P25)/D16</f>
        <v>0.136993431079626</v>
      </c>
      <c r="Q51" s="32" t="n">
        <f aca="false">(Q11-Q24-Q25)/E16</f>
        <v>-0.179174599748711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0.377931739727954</v>
      </c>
      <c r="C52" s="31" t="n">
        <f aca="false">I20/C16</f>
        <v>0.361425579764253</v>
      </c>
      <c r="D52" s="31" t="n">
        <f aca="false">J20/D16</f>
        <v>0.337121683121534</v>
      </c>
      <c r="E52" s="31" t="n">
        <f aca="false">K20/E16</f>
        <v>0.312859558111271</v>
      </c>
      <c r="F52" s="31"/>
      <c r="G52" s="29" t="s">
        <v>61</v>
      </c>
      <c r="H52" s="63" t="n">
        <f aca="false">H16/H11</f>
        <v>0.0688380219391366</v>
      </c>
      <c r="I52" s="63" t="n">
        <f aca="false">I16/I11</f>
        <v>0.0661301347416126</v>
      </c>
      <c r="J52" s="63" t="n">
        <f aca="false">J16/J11</f>
        <v>0.0782351574138232</v>
      </c>
      <c r="K52" s="63" t="n">
        <f aca="false">K16/K11</f>
        <v>0.0757970549595399</v>
      </c>
      <c r="M52" s="6"/>
      <c r="N52" s="4" t="n">
        <f aca="false">N24+N18</f>
        <v>289047</v>
      </c>
      <c r="O52" s="4" t="n">
        <f aca="false">O24+O18</f>
        <v>375047</v>
      </c>
      <c r="P52" s="4" t="n">
        <f aca="false">P24+P18</f>
        <v>476307</v>
      </c>
      <c r="Q52" s="4" t="n">
        <f aca="false">Q24+Q18</f>
        <v>765816</v>
      </c>
      <c r="R52" s="4" t="n">
        <f aca="false">AVERAGE(N52:Q52)</f>
        <v>476554.25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0.529906081204103</v>
      </c>
      <c r="C53" s="31" t="n">
        <f aca="false">I20/C20</f>
        <v>0.533514126948773</v>
      </c>
      <c r="D53" s="31" t="n">
        <f aca="false">J20/D20</f>
        <v>0.491401475364418</v>
      </c>
      <c r="E53" s="31" t="n">
        <f aca="false">K20/E20</f>
        <v>0.458747214367928</v>
      </c>
      <c r="G53" s="29" t="s">
        <v>11</v>
      </c>
      <c r="H53" s="71" t="n">
        <f aca="false">H17/H11</f>
        <v>0.00906006723283793</v>
      </c>
      <c r="I53" s="71" t="n">
        <f aca="false">I17/I11</f>
        <v>0.00715937713606187</v>
      </c>
      <c r="J53" s="71" t="n">
        <f aca="false">J17/J11</f>
        <v>0.00687604484716985</v>
      </c>
      <c r="K53" s="71" t="n">
        <f aca="false">K17/K11</f>
        <v>0</v>
      </c>
      <c r="M53" s="6"/>
      <c r="N53" s="28" t="n">
        <f aca="false">LN(N52/O52)</f>
        <v>-0.260462046802746</v>
      </c>
      <c r="O53" s="28" t="n">
        <f aca="false">LN(O52/P52)</f>
        <v>-0.23901125286842</v>
      </c>
      <c r="P53" s="28" t="n">
        <f aca="false">LN(P52/Q52)</f>
        <v>-0.474879327689936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15.8790807439456</v>
      </c>
      <c r="C54" s="30" t="n">
        <f aca="false">I11/C12</f>
        <v>24.6209352990675</v>
      </c>
      <c r="D54" s="30" t="n">
        <f aca="false">J11/D12</f>
        <v>24.3703249380138</v>
      </c>
      <c r="E54" s="30" t="n">
        <f aca="false">K11/E12</f>
        <v>21.823567139738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0.286794862083518</v>
      </c>
      <c r="C55" s="31" t="n">
        <f aca="false">(C22-C20)/C16</f>
        <v>0.322556683116741</v>
      </c>
      <c r="D55" s="31" t="n">
        <f aca="false">(D22-D20)/D16</f>
        <v>0.31395874855376</v>
      </c>
      <c r="E55" s="31" t="n">
        <f aca="false">(E22-E20)/E16</f>
        <v>0.318013170843258</v>
      </c>
      <c r="G55" s="29" t="s">
        <v>66</v>
      </c>
      <c r="H55" s="63" t="n">
        <f aca="false">H22/H11</f>
        <v>0.308961871903751</v>
      </c>
      <c r="I55" s="63" t="n">
        <f aca="false">I22/I11</f>
        <v>0.306156539977715</v>
      </c>
      <c r="J55" s="63" t="n">
        <f aca="false">J22/J11</f>
        <v>0.30487422208752</v>
      </c>
      <c r="K55" s="63" t="n">
        <f aca="false">K22/K11</f>
        <v>0.304553250906217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0.402121138556776</v>
      </c>
      <c r="C56" s="31" t="n">
        <f aca="false">(C22-C20)/C20</f>
        <v>0.476138261427894</v>
      </c>
      <c r="D56" s="31" t="n">
        <f aca="false">(D22-D20)/D20</f>
        <v>0.457638294915801</v>
      </c>
      <c r="E56" s="31" t="n">
        <f aca="false">(E22-E20)/E20</f>
        <v>0.466303977213859</v>
      </c>
      <c r="G56" s="33" t="s">
        <v>68</v>
      </c>
      <c r="H56" s="34" t="n">
        <f aca="false">H13/B16</f>
        <v>0.457209639545076</v>
      </c>
      <c r="I56" s="34" t="n">
        <f aca="false">I13/C16</f>
        <v>0.436555753482123</v>
      </c>
      <c r="J56" s="34" t="n">
        <f aca="false">J13/D16</f>
        <v>0.417296380639744</v>
      </c>
      <c r="K56" s="34" t="n">
        <f aca="false">K13/E16</f>
        <v>0.346767542067817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1.22323100063845</v>
      </c>
      <c r="C57" s="30" t="n">
        <f aca="false">I11/C16</f>
        <v>1.18052542594897</v>
      </c>
      <c r="D57" s="30" t="n">
        <f aca="false">J11/D16</f>
        <v>1.10577299980697</v>
      </c>
      <c r="E57" s="30" t="n">
        <f aca="false">K11/E16</f>
        <v>1.02727374336126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1.40212113855678</v>
      </c>
      <c r="C58" s="30" t="n">
        <f aca="false">C16/C20</f>
        <v>1.47613826142789</v>
      </c>
      <c r="D58" s="30" t="n">
        <f aca="false">D16/D20</f>
        <v>1.4576382949158</v>
      </c>
      <c r="E58" s="30" t="n">
        <f aca="false">E16/E20</f>
        <v>1.46630397721386</v>
      </c>
      <c r="G58" s="36" t="s">
        <v>72</v>
      </c>
      <c r="H58" s="37" t="n">
        <f aca="false">H22/$B$7/1000</f>
        <v>8.50823071784321</v>
      </c>
      <c r="I58" s="37" t="n">
        <f aca="false">I22/$B$7/1000</f>
        <v>7.96534912588621</v>
      </c>
      <c r="J58" s="37" t="n">
        <f aca="false">J22/$B$7/1000</f>
        <v>6.93510556987816</v>
      </c>
      <c r="K58" s="37" t="n">
        <f aca="false">K22/$B$7/1000</f>
        <v>5.93262182782309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16.0561107328869</v>
      </c>
      <c r="I59" s="37" t="n">
        <f aca="false">C20/$B$7/1000</f>
        <v>14.9299685304322</v>
      </c>
      <c r="J59" s="37" t="n">
        <f aca="false">D20/$B$7/1000</f>
        <v>14.1129115754794</v>
      </c>
      <c r="K59" s="37" t="n">
        <f aca="false">E20/$B$7/1000</f>
        <v>12.9322242010716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55.4410013194152</v>
      </c>
      <c r="I60" s="38" t="n">
        <f aca="false">SQRT(22.5*I58*I59)</f>
        <v>51.7276934062037</v>
      </c>
      <c r="J60" s="38" t="n">
        <f aca="false">SQRT(22.5*J58*J59)</f>
        <v>46.9273583602558</v>
      </c>
      <c r="K60" s="38" t="n">
        <f aca="false">SQRT(22.5*K58*K59)</f>
        <v>41.5481034524505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7.22374185921226</v>
      </c>
      <c r="I61" s="39" t="n">
        <f aca="false">I58-(C20*0.08/1000/$B$7)</f>
        <v>6.77095164345163</v>
      </c>
      <c r="J61" s="39" t="n">
        <f aca="false">J58-(D20*0.08/1000/$B$7)</f>
        <v>5.80607264383981</v>
      </c>
      <c r="K61" s="39" t="n">
        <f aca="false">K58-(E20*0.08/1000/$B$7)</f>
        <v>4.89804389173736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0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0.989367116670897</v>
      </c>
      <c r="I65" s="6" t="n">
        <f aca="false">J51/I51</f>
        <v>1.02050295258505</v>
      </c>
      <c r="J65" s="6" t="n">
        <f aca="false">K51/J51</f>
        <v>0.894486140127432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1.05845669822186</v>
      </c>
      <c r="I66" s="6" t="n">
        <f aca="false">I11/J11</f>
        <v>1.14374419678093</v>
      </c>
      <c r="J66" s="6" t="n">
        <f aca="false">J11/K11</f>
        <v>1.16774749864153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5.98640507341097</v>
      </c>
      <c r="I67" s="6" t="n">
        <f aca="false">(O13/I11)/(P13/J11)</f>
        <v>0.375878300520695</v>
      </c>
      <c r="J67" s="6" t="n">
        <f aca="false">(P13/J11)/(Q13/K11)</f>
        <v>-0.947347203657565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1.04094785543844</v>
      </c>
      <c r="I68" s="6" t="n">
        <f aca="false">I52/J52</f>
        <v>0.84527387593558</v>
      </c>
      <c r="J68" s="6" t="n">
        <f aca="false">J52/K52</f>
        <v>1.03216618977591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1.26548260563091</v>
      </c>
      <c r="I69" s="6" t="n">
        <f aca="false">I53/J53</f>
        <v>1.04120570694193</v>
      </c>
      <c r="J69" s="6" t="e">
        <f aca="false">J53/K53</f>
        <v>#DIV/0!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0.949857594776034</v>
      </c>
      <c r="I70" s="6" t="n">
        <f aca="false">C58/D58</f>
        <v>1.01269174017767</v>
      </c>
      <c r="J70" s="6" t="n">
        <f aca="false">D58/E58</f>
        <v>0.994090118807068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0.84573299052961</v>
      </c>
      <c r="I71" s="6" t="n">
        <f aca="false">((1-C11)/C16)/((1-D11)/D16)</f>
        <v>0.938035557635527</v>
      </c>
      <c r="J71" s="6" t="n">
        <f aca="false">((1-D11)/D16)/((1-E11)/E16)</f>
        <v>0.908997800686077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0.0477637943534861</v>
      </c>
      <c r="I72" s="6" t="n">
        <f aca="false">((I13-I16-I17)-O24)/C16</f>
        <v>0.0808268110603306</v>
      </c>
      <c r="J72" s="6" t="n">
        <f aca="false">((J13-J16-J17)-P24)/D16</f>
        <v>0.0268618750377473</v>
      </c>
      <c r="K72" s="6" t="n">
        <f aca="false">((K13-K16-K17)-Q24)/E16</f>
        <v>-0.23610458050376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2.35592858522689</v>
      </c>
      <c r="I73" s="6" t="n">
        <f aca="false">-4.84 + 0.92 *I67  + 0.528 *I65 + 0.404 *I71 + 0.892 *I66 + 0.115 *I69 - 0.172 *I68- 0.327 *I70 + 4.697 *I72</f>
        <v>-2.53333533359303</v>
      </c>
      <c r="J73" s="6" t="e">
        <f aca="false">-4.84 + 0.92 *J67  + 0.528 *J65 + 0.404 *J71 + 0.892 *J66 + 0.115 *J69 - 0.172 *J68- 0.327 *J70 + 4.697 *J72</f>
        <v>#DIV/0!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CARE</v>
      </c>
      <c r="I74" s="6" t="str">
        <f aca="false">IF(I73&gt;-2.22,"CARE","Good")</f>
        <v>Good</v>
      </c>
      <c r="J74" s="6" t="e">
        <f aca="false">IF(J73&gt;-2.22,"CARE","Good")</f>
        <v>#DIV/0!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0.000208520918740865</v>
      </c>
      <c r="I75" s="6" t="n">
        <f aca="false">I59*$B$7/$B$5</f>
        <v>0.000193895695323109</v>
      </c>
      <c r="J75" s="6" t="n">
        <f aca="false">J59*$B$7/$B$5</f>
        <v>0.000183284566031293</v>
      </c>
      <c r="K75" s="6" t="n">
        <f aca="false">K59*$B$7/$B$5</f>
        <v>0.000167950963756554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n">
        <f aca="false">(H15-H16)/$B$6</f>
        <v>0.120666238537577</v>
      </c>
      <c r="I78" s="75" t="n">
        <f aca="false">(I15-I16)/$B$6</f>
        <v>0.112315076300823</v>
      </c>
      <c r="J78" s="75" t="n">
        <f aca="false">(J15-J16)/$B$6</f>
        <v>0.0977087659988364</v>
      </c>
      <c r="K78" s="75" t="n">
        <f aca="false">(K15-K16)/$B$6</f>
        <v>0.0850526266211073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8.53034151704865</v>
      </c>
      <c r="I79" s="75" t="n">
        <f aca="false">$B$6/(I15-I16)</f>
        <v>8.90352420116433</v>
      </c>
      <c r="J79" s="75" t="n">
        <f aca="false">$B$6/(J15-J16)</f>
        <v>10.2344962581137</v>
      </c>
      <c r="K79" s="75" t="n">
        <f aca="false">$B$6/(K15-K16)</f>
        <v>11.7574264279315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1810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IFERROR(__xludf.dummyfunction("GoogleFinance(""TADAWUL:""&amp;B1,""eps"")"),"2.95")</f>
        <v>2.95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IFERROR(__xludf.dummyfunction("GoogleFinance(""TADAWUL:""&amp;B1,""marketcap"")/1000"),"5,476,212.06")</f>
        <v>5,476,212.06</v>
      </c>
      <c r="C5" s="6" t="n">
        <f aca="false">H11/1000/B7</f>
        <v>38.251206255921</v>
      </c>
      <c r="D5" s="6" t="n">
        <f aca="false">100/C5</f>
        <v>2.61429664024048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8092785.06</v>
      </c>
      <c r="C6" s="28" t="n">
        <f aca="false">H20/B6</f>
        <v>0.105803501965243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IFERROR(__xludf.dummyfunction("GoogleFinance(""TADAWUL:""&amp;B1,""shares"")/1000000"),"210.219279")</f>
        <v>210.219279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3347934</v>
      </c>
      <c r="C11" s="11" t="n">
        <v>3401914</v>
      </c>
      <c r="D11" s="11" t="n">
        <v>3446571</v>
      </c>
      <c r="E11" s="11" t="n">
        <v>3215317</v>
      </c>
      <c r="G11" s="10" t="s">
        <v>7</v>
      </c>
      <c r="H11" s="11" t="n">
        <v>8041141</v>
      </c>
      <c r="I11" s="11" t="n">
        <v>8631044</v>
      </c>
      <c r="J11" s="11" t="n">
        <v>7711372</v>
      </c>
      <c r="K11" s="11" t="n">
        <v>6260265</v>
      </c>
      <c r="M11" s="10" t="s">
        <v>8</v>
      </c>
      <c r="N11" s="11" t="n">
        <v>826246</v>
      </c>
      <c r="O11" s="11" t="n">
        <v>1161556</v>
      </c>
      <c r="P11" s="11" t="n">
        <v>1118922</v>
      </c>
      <c r="Q11" s="11" t="n">
        <v>942928</v>
      </c>
    </row>
    <row r="12" customFormat="false" ht="15" hidden="false" customHeight="false" outlineLevel="0" collapsed="false">
      <c r="A12" s="10" t="s">
        <v>9</v>
      </c>
      <c r="B12" s="18"/>
      <c r="C12" s="18"/>
      <c r="D12" s="18"/>
      <c r="E12" s="18"/>
      <c r="G12" s="10" t="s">
        <v>10</v>
      </c>
      <c r="H12" s="11" t="n">
        <v>6551974</v>
      </c>
      <c r="I12" s="11" t="n">
        <v>6815424</v>
      </c>
      <c r="J12" s="11" t="n">
        <v>6090511</v>
      </c>
      <c r="K12" s="11" t="n">
        <v>4918845</v>
      </c>
      <c r="M12" s="10" t="s">
        <v>11</v>
      </c>
      <c r="N12" s="11" t="n">
        <v>99592</v>
      </c>
      <c r="O12" s="11" t="n">
        <v>91490</v>
      </c>
      <c r="P12" s="11" t="n">
        <v>60914</v>
      </c>
      <c r="Q12" s="11" t="n">
        <v>44842</v>
      </c>
    </row>
    <row r="13" customFormat="false" ht="15" hidden="false" customHeight="false" outlineLevel="0" collapsed="false">
      <c r="A13" s="10" t="s">
        <v>12</v>
      </c>
      <c r="B13" s="11" t="n">
        <v>1817571</v>
      </c>
      <c r="C13" s="11" t="n">
        <v>179099</v>
      </c>
      <c r="D13" s="11" t="n">
        <v>115041</v>
      </c>
      <c r="E13" s="11" t="n">
        <v>127796</v>
      </c>
      <c r="G13" s="10" t="s">
        <v>13</v>
      </c>
      <c r="H13" s="11" t="n">
        <v>1489167</v>
      </c>
      <c r="I13" s="11" t="n">
        <v>1815620</v>
      </c>
      <c r="J13" s="11" t="n">
        <v>1620861</v>
      </c>
      <c r="K13" s="11" t="n">
        <v>1341420</v>
      </c>
      <c r="M13" s="10" t="s">
        <v>14</v>
      </c>
      <c r="N13" s="13" t="n">
        <v>-744615</v>
      </c>
      <c r="O13" s="11" t="n">
        <v>129695</v>
      </c>
      <c r="P13" s="13" t="n">
        <v>-120916</v>
      </c>
      <c r="Q13" s="11" t="n">
        <v>384466</v>
      </c>
    </row>
    <row r="14" customFormat="false" ht="15" hidden="false" customHeight="false" outlineLevel="0" collapsed="false">
      <c r="A14" s="10" t="s">
        <v>15</v>
      </c>
      <c r="B14" s="11" t="n">
        <v>4007807</v>
      </c>
      <c r="C14" s="11" t="n">
        <v>1414706</v>
      </c>
      <c r="D14" s="11" t="n">
        <v>1318309</v>
      </c>
      <c r="E14" s="11" t="n">
        <v>729955</v>
      </c>
      <c r="G14" s="10" t="s">
        <v>16</v>
      </c>
      <c r="H14" s="11" t="n">
        <v>168497</v>
      </c>
      <c r="I14" s="11" t="n">
        <v>182468</v>
      </c>
      <c r="J14" s="11" t="n">
        <v>157418</v>
      </c>
      <c r="K14" s="11" t="n">
        <v>103760</v>
      </c>
      <c r="M14" s="10" t="s">
        <v>9</v>
      </c>
      <c r="N14" s="18"/>
      <c r="O14" s="18"/>
      <c r="P14" s="18"/>
      <c r="Q14" s="18"/>
    </row>
    <row r="15" customFormat="false" ht="15" hidden="false" customHeight="false" outlineLevel="0" collapsed="false">
      <c r="A15" s="10" t="s">
        <v>17</v>
      </c>
      <c r="B15" s="11" t="n">
        <v>202753</v>
      </c>
      <c r="C15" s="11" t="n">
        <v>3425710</v>
      </c>
      <c r="D15" s="11" t="n">
        <v>1321206</v>
      </c>
      <c r="E15" s="11" t="n">
        <v>1355504</v>
      </c>
      <c r="G15" s="10" t="s">
        <v>18</v>
      </c>
      <c r="H15" s="11" t="n">
        <v>1657664</v>
      </c>
      <c r="I15" s="11" t="n">
        <v>1998088</v>
      </c>
      <c r="J15" s="11" t="n">
        <v>1778279</v>
      </c>
      <c r="K15" s="11" t="n">
        <v>1445180</v>
      </c>
      <c r="M15" s="10" t="s">
        <v>19</v>
      </c>
      <c r="N15" s="11" t="n">
        <v>130570</v>
      </c>
      <c r="O15" s="13" t="n">
        <v>-30426</v>
      </c>
      <c r="P15" s="13" t="n">
        <v>-111724</v>
      </c>
      <c r="Q15" s="13" t="n">
        <v>-208917</v>
      </c>
    </row>
    <row r="16" customFormat="false" ht="15" hidden="false" customHeight="false" outlineLevel="0" collapsed="false">
      <c r="A16" s="10" t="s">
        <v>20</v>
      </c>
      <c r="B16" s="11" t="n">
        <v>9376065</v>
      </c>
      <c r="C16" s="11" t="n">
        <v>8421429</v>
      </c>
      <c r="D16" s="11" t="n">
        <v>6201127</v>
      </c>
      <c r="E16" s="11" t="n">
        <v>5428572</v>
      </c>
      <c r="G16" s="10" t="s">
        <v>21</v>
      </c>
      <c r="H16" s="11" t="n">
        <v>633585</v>
      </c>
      <c r="I16" s="11" t="n">
        <v>653412</v>
      </c>
      <c r="J16" s="11" t="n">
        <v>515662</v>
      </c>
      <c r="K16" s="11" t="n">
        <v>416869</v>
      </c>
      <c r="M16" s="10" t="s">
        <v>22</v>
      </c>
      <c r="N16" s="11" t="n">
        <v>462190</v>
      </c>
      <c r="O16" s="11" t="n">
        <v>17009</v>
      </c>
      <c r="P16" s="11" t="n">
        <v>183136</v>
      </c>
      <c r="Q16" s="11" t="n">
        <v>378667</v>
      </c>
    </row>
    <row r="17" customFormat="false" ht="15" hidden="false" customHeight="false" outlineLevel="0" collapsed="false">
      <c r="A17" s="10" t="s">
        <v>23</v>
      </c>
      <c r="B17" s="11" t="n">
        <v>2884755</v>
      </c>
      <c r="C17" s="11" t="n">
        <v>3235142</v>
      </c>
      <c r="D17" s="11" t="n">
        <v>3278796</v>
      </c>
      <c r="E17" s="11" t="n">
        <v>2939954</v>
      </c>
      <c r="G17" s="10" t="s">
        <v>11</v>
      </c>
      <c r="H17" s="11" t="n">
        <v>35253</v>
      </c>
      <c r="I17" s="11" t="n">
        <v>54275</v>
      </c>
      <c r="J17" s="11" t="n">
        <v>37715</v>
      </c>
      <c r="K17" s="11" t="n">
        <v>29546</v>
      </c>
      <c r="M17" s="10" t="s">
        <v>24</v>
      </c>
      <c r="N17" s="13" t="n">
        <v>-687459</v>
      </c>
      <c r="O17" s="11" t="n">
        <v>124638</v>
      </c>
      <c r="P17" s="11" t="n">
        <v>32784</v>
      </c>
      <c r="Q17" s="11" t="n">
        <v>615126</v>
      </c>
    </row>
    <row r="18" customFormat="false" ht="15" hidden="false" customHeight="false" outlineLevel="0" collapsed="false">
      <c r="A18" s="10" t="s">
        <v>25</v>
      </c>
      <c r="B18" s="11" t="n">
        <v>947414</v>
      </c>
      <c r="C18" s="11" t="n">
        <v>1180481</v>
      </c>
      <c r="D18" s="11" t="n">
        <v>57300</v>
      </c>
      <c r="E18" s="11" t="n">
        <v>47111</v>
      </c>
      <c r="G18" s="10" t="s">
        <v>26</v>
      </c>
      <c r="H18" s="11" t="n">
        <v>132581</v>
      </c>
      <c r="I18" s="11" t="n">
        <v>92819</v>
      </c>
      <c r="J18" s="11" t="n">
        <v>64438</v>
      </c>
      <c r="K18" s="11" t="n">
        <v>19393</v>
      </c>
      <c r="M18" s="10" t="s">
        <v>27</v>
      </c>
      <c r="N18" s="13" t="n">
        <v>-167614</v>
      </c>
      <c r="O18" s="13" t="n">
        <v>-186183</v>
      </c>
      <c r="P18" s="13" t="n">
        <v>-376263</v>
      </c>
      <c r="Q18" s="13" t="n">
        <v>-143809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801419</v>
      </c>
      <c r="I19" s="11" t="n">
        <v>800506</v>
      </c>
      <c r="J19" s="11" t="n">
        <v>617815</v>
      </c>
      <c r="K19" s="11" t="n">
        <v>465808</v>
      </c>
      <c r="M19" s="10" t="s">
        <v>30</v>
      </c>
      <c r="N19" s="13" t="n">
        <v>-306330</v>
      </c>
      <c r="O19" s="13" t="n">
        <v>-2236049</v>
      </c>
      <c r="P19" s="13" t="n">
        <v>-358319</v>
      </c>
      <c r="Q19" s="13" t="n">
        <v>-225979</v>
      </c>
    </row>
    <row r="20" customFormat="false" ht="15" hidden="false" customHeight="false" outlineLevel="0" collapsed="false">
      <c r="A20" s="10" t="s">
        <v>31</v>
      </c>
      <c r="B20" s="11" t="n">
        <v>5509960</v>
      </c>
      <c r="C20" s="11" t="n">
        <v>3971328</v>
      </c>
      <c r="D20" s="11" t="n">
        <v>2841278</v>
      </c>
      <c r="E20" s="11" t="n">
        <v>2215111</v>
      </c>
      <c r="G20" s="10" t="s">
        <v>32</v>
      </c>
      <c r="H20" s="11" t="n">
        <v>856245</v>
      </c>
      <c r="I20" s="11" t="n">
        <v>1197582</v>
      </c>
      <c r="J20" s="11" t="n">
        <v>1160464</v>
      </c>
      <c r="K20" s="11" t="n">
        <v>979372</v>
      </c>
      <c r="M20" s="10" t="s">
        <v>33</v>
      </c>
      <c r="N20" s="13" t="n">
        <v>-371279</v>
      </c>
      <c r="O20" s="11" t="n">
        <v>983836</v>
      </c>
      <c r="P20" s="13" t="n">
        <v>-42046</v>
      </c>
      <c r="Q20" s="11" t="n">
        <v>25703</v>
      </c>
    </row>
    <row r="21" customFormat="false" ht="15" hidden="false" customHeight="false" outlineLevel="0" collapsed="false">
      <c r="A21" s="10" t="s">
        <v>34</v>
      </c>
      <c r="B21" s="11" t="n">
        <v>33936</v>
      </c>
      <c r="C21" s="15"/>
      <c r="D21" s="18"/>
      <c r="E21" s="15"/>
      <c r="G21" s="10" t="s">
        <v>35</v>
      </c>
      <c r="H21" s="11" t="n">
        <v>30000</v>
      </c>
      <c r="I21" s="11" t="n">
        <v>36026</v>
      </c>
      <c r="J21" s="11" t="n">
        <v>41541</v>
      </c>
      <c r="K21" s="11" t="n">
        <v>36444</v>
      </c>
      <c r="M21" s="10" t="s">
        <v>36</v>
      </c>
      <c r="N21" s="13" t="n">
        <v>-542</v>
      </c>
      <c r="O21" s="13" t="n">
        <v>-5431</v>
      </c>
      <c r="P21" s="13" t="n">
        <v>-544945</v>
      </c>
      <c r="Q21" s="13" t="n">
        <v>-442770</v>
      </c>
    </row>
    <row r="22" customFormat="false" ht="15" hidden="false" customHeight="false" outlineLevel="0" collapsed="false">
      <c r="A22" s="10" t="s">
        <v>37</v>
      </c>
      <c r="B22" s="11" t="n">
        <v>9376065</v>
      </c>
      <c r="C22" s="11" t="n">
        <v>8421429</v>
      </c>
      <c r="D22" s="11" t="n">
        <v>6201127</v>
      </c>
      <c r="E22" s="11" t="n">
        <v>5428572</v>
      </c>
      <c r="G22" s="10" t="s">
        <v>8</v>
      </c>
      <c r="H22" s="11" t="n">
        <v>826245</v>
      </c>
      <c r="I22" s="11" t="n">
        <v>1161556</v>
      </c>
      <c r="J22" s="11" t="n">
        <v>1118923</v>
      </c>
      <c r="K22" s="11" t="n">
        <v>942928</v>
      </c>
      <c r="M22" s="10" t="s">
        <v>38</v>
      </c>
      <c r="N22" s="11" t="n">
        <v>2008773</v>
      </c>
      <c r="O22" s="11" t="n">
        <v>1958638</v>
      </c>
      <c r="P22" s="11" t="n">
        <v>2117095</v>
      </c>
      <c r="Q22" s="11" t="n">
        <v>746838</v>
      </c>
      <c r="R22" s="84" t="n">
        <f aca="false">O23-O22</f>
        <v>50135</v>
      </c>
    </row>
    <row r="23" customFormat="false" ht="15" hidden="false" customHeight="false" outlineLevel="0" collapsed="false">
      <c r="A23" s="6"/>
      <c r="B23" s="4" t="n">
        <f aca="false">B11+B12</f>
        <v>3347934</v>
      </c>
      <c r="C23" s="4" t="n">
        <f aca="false">C11+C12</f>
        <v>3401914</v>
      </c>
      <c r="D23" s="4" t="n">
        <f aca="false">D11+D12</f>
        <v>3446571</v>
      </c>
      <c r="E23" s="4" t="n">
        <f aca="false">E11+E12</f>
        <v>3215317</v>
      </c>
      <c r="G23" s="10" t="s">
        <v>39</v>
      </c>
      <c r="H23" s="11" t="n">
        <v>1485693</v>
      </c>
      <c r="I23" s="11" t="n">
        <v>940293</v>
      </c>
      <c r="J23" s="11" t="n">
        <v>773262</v>
      </c>
      <c r="K23" s="11" t="n">
        <v>717593</v>
      </c>
      <c r="M23" s="10" t="s">
        <v>40</v>
      </c>
      <c r="N23" s="11" t="n">
        <v>1249532</v>
      </c>
      <c r="O23" s="11" t="n">
        <v>2008773</v>
      </c>
      <c r="P23" s="11" t="n">
        <v>1958638</v>
      </c>
      <c r="Q23" s="11" t="n">
        <v>2117095</v>
      </c>
      <c r="R23" s="84" t="n">
        <f aca="false">O25*-1-O26+R22</f>
        <v>1493962</v>
      </c>
    </row>
    <row r="24" customFormat="false" ht="15" hidden="false" customHeight="false" outlineLevel="0" collapsed="false">
      <c r="A24" s="6"/>
      <c r="B24" s="6" t="n">
        <f aca="false">B16/(B22-B20)</f>
        <v>2.42519667727597</v>
      </c>
      <c r="C24" s="6" t="n">
        <f aca="false">C16/(C22-C20)</f>
        <v>1.89241300365992</v>
      </c>
      <c r="D24" s="6" t="n">
        <f aca="false">D16/(D22-D20)</f>
        <v>1.8456564565848</v>
      </c>
      <c r="E24" s="6" t="n">
        <f aca="false">E16/(E22-E20)</f>
        <v>1.68932250928205</v>
      </c>
      <c r="G24" s="10" t="s">
        <v>41</v>
      </c>
      <c r="H24" s="11" t="n">
        <v>82625</v>
      </c>
      <c r="I24" s="11" t="n">
        <v>116156</v>
      </c>
      <c r="J24" s="11" t="n">
        <v>111892</v>
      </c>
      <c r="K24" s="11" t="n">
        <v>94293</v>
      </c>
      <c r="M24" s="2" t="s">
        <v>42</v>
      </c>
      <c r="N24" s="12" t="n">
        <f aca="false">SUM(N11:N17)</f>
        <v>86524</v>
      </c>
      <c r="O24" s="12" t="n">
        <f aca="false">SUM(O11:O17)</f>
        <v>1493962</v>
      </c>
      <c r="P24" s="12" t="n">
        <f aca="false">SUM(P11:P17)</f>
        <v>1163116</v>
      </c>
      <c r="Q24" s="12" t="n">
        <f aca="false">SUM(Q11:Q17)</f>
        <v>2157112</v>
      </c>
    </row>
    <row r="25" customFormat="false" ht="15" hidden="false" customHeight="false" outlineLevel="0" collapsed="false">
      <c r="A25" s="6"/>
      <c r="B25" s="6" t="n">
        <f aca="false">B24/B5*1000</f>
        <v>0.000442860256451787</v>
      </c>
      <c r="G25" s="10" t="s">
        <v>43</v>
      </c>
      <c r="H25" s="86"/>
      <c r="I25" s="18"/>
      <c r="J25" s="11" t="n">
        <v>540000</v>
      </c>
      <c r="K25" s="11" t="n">
        <v>440000</v>
      </c>
      <c r="M25" s="2" t="s">
        <v>44</v>
      </c>
      <c r="N25" s="12" t="n">
        <f aca="false">N18+N19</f>
        <v>-473944</v>
      </c>
      <c r="O25" s="12" t="n">
        <f aca="false">O18+O19</f>
        <v>-2422232</v>
      </c>
      <c r="P25" s="12" t="n">
        <f aca="false">P18+P19</f>
        <v>-734582</v>
      </c>
      <c r="Q25" s="12" t="n">
        <f aca="false">Q18+Q19</f>
        <v>-369788</v>
      </c>
    </row>
    <row r="26" customFormat="false" ht="15" hidden="false" customHeight="false" outlineLevel="0" collapsed="false">
      <c r="A26" s="6"/>
      <c r="B26" s="4" t="n">
        <f aca="false">B23-B17</f>
        <v>463179</v>
      </c>
      <c r="C26" s="4" t="n">
        <f aca="false">C23-C17</f>
        <v>166772</v>
      </c>
      <c r="G26" s="10" t="s">
        <v>45</v>
      </c>
      <c r="H26" s="18"/>
      <c r="I26" s="11" t="n">
        <v>500000</v>
      </c>
      <c r="J26" s="11" t="n">
        <v>300000</v>
      </c>
      <c r="K26" s="11" t="n">
        <v>400000</v>
      </c>
      <c r="M26" s="2" t="s">
        <v>46</v>
      </c>
      <c r="N26" s="12" t="n">
        <f aca="false">N20+N21</f>
        <v>-371821</v>
      </c>
      <c r="O26" s="12" t="n">
        <f aca="false">O20+O21</f>
        <v>978405</v>
      </c>
      <c r="P26" s="12" t="n">
        <f aca="false">P20+P21</f>
        <v>-586991</v>
      </c>
      <c r="Q26" s="12" t="n">
        <f aca="false">Q20+Q21</f>
        <v>-417067</v>
      </c>
    </row>
    <row r="27" customFormat="false" ht="15" hidden="false" customHeight="false" outlineLevel="0" collapsed="false">
      <c r="A27" s="6"/>
      <c r="B27" s="6" t="n">
        <f aca="false">B22/90000</f>
        <v>104.1785</v>
      </c>
      <c r="F27" s="6" t="n">
        <f aca="false">H20*0.025</f>
        <v>21406.125</v>
      </c>
      <c r="G27" s="10" t="s">
        <v>47</v>
      </c>
      <c r="H27" s="11" t="n">
        <v>2229313</v>
      </c>
      <c r="I27" s="11" t="n">
        <v>1485693</v>
      </c>
      <c r="J27" s="11" t="n">
        <v>940293</v>
      </c>
      <c r="K27" s="11" t="n">
        <v>726228</v>
      </c>
      <c r="M27" s="2" t="s">
        <v>115</v>
      </c>
      <c r="N27" s="12" t="n">
        <f aca="false">N24+N18+N20</f>
        <v>-452369</v>
      </c>
      <c r="O27" s="12" t="n">
        <f aca="false">O24+O18+O20</f>
        <v>2291615</v>
      </c>
      <c r="P27" s="12" t="n">
        <f aca="false">P24+P18+P20</f>
        <v>744807</v>
      </c>
      <c r="Q27" s="12" t="n">
        <f aca="false">Q24+Q18+Q20</f>
        <v>2039006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-296407</v>
      </c>
      <c r="O28" s="12" t="n">
        <f aca="false">(D11-C11)+(C17-D17)</f>
        <v>1003</v>
      </c>
      <c r="P28" s="12" t="n">
        <f aca="false">(E11-D11)+(D17-E17)</f>
        <v>107588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0.357072396575749</v>
      </c>
      <c r="C30" s="24" t="n">
        <f aca="false">C11/C$16</f>
        <v>0.403959233047028</v>
      </c>
      <c r="D30" s="24" t="n">
        <f aca="false">D11/D$16</f>
        <v>0.555797518741351</v>
      </c>
      <c r="E30" s="24" t="n">
        <f aca="false">E11/E$16</f>
        <v>0.592295174495245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0.102752333282055</v>
      </c>
      <c r="O30" s="26" t="n">
        <f aca="false">O11/I$11</f>
        <v>0.134578852801585</v>
      </c>
      <c r="P30" s="26" t="n">
        <f aca="false">P11/J$11</f>
        <v>0.145100249346031</v>
      </c>
      <c r="Q30" s="26" t="n">
        <f aca="false">Q11/K$11</f>
        <v>0.150621099905515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0</v>
      </c>
      <c r="D31" s="24" t="n">
        <f aca="false">D12/D$16</f>
        <v>0</v>
      </c>
      <c r="E31" s="24" t="n">
        <f aca="false">E12/E$16</f>
        <v>0</v>
      </c>
      <c r="F31" s="6"/>
      <c r="G31" s="25" t="s">
        <v>10</v>
      </c>
      <c r="H31" s="24" t="n">
        <f aca="false">H12/H$11</f>
        <v>0.814806505693657</v>
      </c>
      <c r="I31" s="24" t="n">
        <f aca="false">I12/I$11</f>
        <v>0.789640743344606</v>
      </c>
      <c r="J31" s="24" t="n">
        <f aca="false">J12/J$11</f>
        <v>0.789808998969314</v>
      </c>
      <c r="K31" s="24" t="n">
        <f aca="false">K12/K$11</f>
        <v>0.785724725710493</v>
      </c>
      <c r="L31" s="6"/>
      <c r="M31" s="25" t="s">
        <v>11</v>
      </c>
      <c r="N31" s="26" t="n">
        <f aca="false">N12/H$11</f>
        <v>0.0123853070105349</v>
      </c>
      <c r="O31" s="26" t="n">
        <f aca="false">O12/I$11</f>
        <v>0.0106001081676794</v>
      </c>
      <c r="P31" s="26" t="n">
        <f aca="false">P12/J$11</f>
        <v>0.00789924283253356</v>
      </c>
      <c r="Q31" s="26" t="n">
        <f aca="false">Q12/K$11</f>
        <v>0.00716295556178532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0.193852218387991</v>
      </c>
      <c r="C32" s="24" t="n">
        <f aca="false">C13/C$16</f>
        <v>0.0212670557455273</v>
      </c>
      <c r="D32" s="24" t="n">
        <f aca="false">D13/D$16</f>
        <v>0.018551627792819</v>
      </c>
      <c r="E32" s="24" t="n">
        <f aca="false">E13/E$16</f>
        <v>0.0235413659430141</v>
      </c>
      <c r="F32" s="6"/>
      <c r="G32" s="25" t="s">
        <v>13</v>
      </c>
      <c r="H32" s="24" t="n">
        <f aca="false">H13/H$11</f>
        <v>0.185193494306343</v>
      </c>
      <c r="I32" s="24" t="n">
        <f aca="false">I13/I$11</f>
        <v>0.210359256655394</v>
      </c>
      <c r="J32" s="24" t="n">
        <f aca="false">J13/J$11</f>
        <v>0.210191001030686</v>
      </c>
      <c r="K32" s="24" t="n">
        <f aca="false">K13/K$11</f>
        <v>0.214275274289507</v>
      </c>
      <c r="L32" s="6"/>
      <c r="M32" s="25" t="s">
        <v>14</v>
      </c>
      <c r="N32" s="26" t="n">
        <f aca="false">N13/H$11</f>
        <v>-0.0926006645076862</v>
      </c>
      <c r="O32" s="26" t="n">
        <f aca="false">O13/I$11</f>
        <v>0.0150265715248352</v>
      </c>
      <c r="P32" s="26" t="n">
        <f aca="false">P13/J$11</f>
        <v>-0.0156802187730017</v>
      </c>
      <c r="Q32" s="26" t="n">
        <f aca="false">Q13/K$11</f>
        <v>0.0614136941487301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0.427450854916215</v>
      </c>
      <c r="C33" s="24" t="n">
        <f aca="false">C14/C$16</f>
        <v>0.167988829449254</v>
      </c>
      <c r="D33" s="24" t="n">
        <f aca="false">D14/D$16</f>
        <v>0.212591840160668</v>
      </c>
      <c r="E33" s="24" t="n">
        <f aca="false">E14/E$16</f>
        <v>0.134465380582592</v>
      </c>
      <c r="F33" s="6"/>
      <c r="G33" s="25" t="s">
        <v>16</v>
      </c>
      <c r="H33" s="24" t="n">
        <f aca="false">H14/H$11</f>
        <v>0.0209543645609497</v>
      </c>
      <c r="I33" s="24" t="n">
        <f aca="false">I14/I$11</f>
        <v>0.0211408955857484</v>
      </c>
      <c r="J33" s="24" t="n">
        <f aca="false">J14/J$11</f>
        <v>0.0204137473850308</v>
      </c>
      <c r="K33" s="24" t="n">
        <f aca="false">K14/K$11</f>
        <v>0.0165743782411767</v>
      </c>
      <c r="L33" s="6"/>
      <c r="M33" s="25" t="s">
        <v>9</v>
      </c>
      <c r="N33" s="26" t="n">
        <f aca="false">N14/H$11</f>
        <v>0</v>
      </c>
      <c r="O33" s="26" t="n">
        <f aca="false">O14/I$11</f>
        <v>0</v>
      </c>
      <c r="P33" s="26" t="n">
        <f aca="false">P14/J$11</f>
        <v>0</v>
      </c>
      <c r="Q33" s="26" t="n">
        <f aca="false">Q14/K$11</f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0.021624530120045</v>
      </c>
      <c r="C34" s="24" t="n">
        <f aca="false">C15/C$16</f>
        <v>0.406784881758191</v>
      </c>
      <c r="D34" s="24" t="n">
        <f aca="false">D15/D$16</f>
        <v>0.213059013305162</v>
      </c>
      <c r="E34" s="24" t="n">
        <f aca="false">E15/E$16</f>
        <v>0.24969807897915</v>
      </c>
      <c r="F34" s="6"/>
      <c r="G34" s="25" t="s">
        <v>18</v>
      </c>
      <c r="H34" s="24" t="n">
        <f aca="false">H15/H$11</f>
        <v>0.206147858867293</v>
      </c>
      <c r="I34" s="24" t="n">
        <f aca="false">I15/I$11</f>
        <v>0.231500152241143</v>
      </c>
      <c r="J34" s="24" t="n">
        <f aca="false">J15/J$11</f>
        <v>0.230604748415716</v>
      </c>
      <c r="K34" s="24" t="n">
        <f aca="false">K15/K$11</f>
        <v>0.230849652530684</v>
      </c>
      <c r="L34" s="6"/>
      <c r="M34" s="25" t="s">
        <v>19</v>
      </c>
      <c r="N34" s="26" t="n">
        <f aca="false">N15/H$11</f>
        <v>0.0162377453647436</v>
      </c>
      <c r="O34" s="26" t="n">
        <f aca="false">O15/I$11</f>
        <v>-0.00352518188993128</v>
      </c>
      <c r="P34" s="26" t="n">
        <f aca="false">P15/J$11</f>
        <v>-0.014488212992448</v>
      </c>
      <c r="Q34" s="26" t="n">
        <f aca="false">Q15/K$11</f>
        <v>-0.033371909975057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0.0787929225466883</v>
      </c>
      <c r="I35" s="24" t="n">
        <f aca="false">I16/I$11</f>
        <v>0.0757048625867276</v>
      </c>
      <c r="J35" s="24" t="n">
        <f aca="false">J16/J$11</f>
        <v>0.0668703312458535</v>
      </c>
      <c r="K35" s="24" t="n">
        <f aca="false">K16/K$11</f>
        <v>0.0665896731208663</v>
      </c>
      <c r="L35" s="6"/>
      <c r="M35" s="25" t="s">
        <v>22</v>
      </c>
      <c r="N35" s="26" t="n">
        <f aca="false">N16/H$11</f>
        <v>0.0574781613703826</v>
      </c>
      <c r="O35" s="26" t="n">
        <f aca="false">O16/I$11</f>
        <v>0.00197067701195823</v>
      </c>
      <c r="P35" s="26" t="n">
        <f aca="false">P16/J$11</f>
        <v>0.0237488218698307</v>
      </c>
      <c r="Q35" s="26" t="n">
        <f aca="false">Q16/K$11</f>
        <v>0.0604873755344223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0.307672248432578</v>
      </c>
      <c r="C36" s="24" t="n">
        <f aca="false">C17/C$16</f>
        <v>0.384155943130317</v>
      </c>
      <c r="D36" s="24" t="n">
        <f aca="false">D17/D$16</f>
        <v>0.52874195287405</v>
      </c>
      <c r="E36" s="24" t="n">
        <f aca="false">E17/E$16</f>
        <v>0.541570416676798</v>
      </c>
      <c r="F36" s="6"/>
      <c r="G36" s="25" t="s">
        <v>11</v>
      </c>
      <c r="H36" s="24" t="n">
        <f aca="false">H17/H$11</f>
        <v>0.00438407932406608</v>
      </c>
      <c r="I36" s="24" t="n">
        <f aca="false">I17/I$11</f>
        <v>0.00628834704121541</v>
      </c>
      <c r="J36" s="24" t="n">
        <f aca="false">J17/J$11</f>
        <v>0.00489082876562044</v>
      </c>
      <c r="K36" s="24" t="n">
        <f aca="false">K17/K$11</f>
        <v>0.00471960851497501</v>
      </c>
      <c r="L36" s="6"/>
      <c r="M36" s="25" t="s">
        <v>24</v>
      </c>
      <c r="N36" s="26" t="n">
        <f aca="false">N17/H$11</f>
        <v>-0.0854927180110385</v>
      </c>
      <c r="O36" s="26" t="n">
        <f aca="false">O17/I$11</f>
        <v>0.0144406632615938</v>
      </c>
      <c r="P36" s="26" t="n">
        <f aca="false">P17/J$11</f>
        <v>0.00425138354108711</v>
      </c>
      <c r="Q36" s="26" t="n">
        <f aca="false">Q17/K$11</f>
        <v>0.0982587797800892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0.101046014506085</v>
      </c>
      <c r="C37" s="24" t="n">
        <f aca="false">C18/C$16</f>
        <v>0.140175853765436</v>
      </c>
      <c r="D37" s="24" t="n">
        <f aca="false">D18/D$16</f>
        <v>0.00924025584381678</v>
      </c>
      <c r="E37" s="24" t="n">
        <f aca="false">E18/E$16</f>
        <v>0.00867834119175356</v>
      </c>
      <c r="F37" s="6"/>
      <c r="G37" s="25" t="s">
        <v>26</v>
      </c>
      <c r="H37" s="24" t="n">
        <f aca="false">H18/H$11</f>
        <v>0.016487834251383</v>
      </c>
      <c r="I37" s="24" t="n">
        <f aca="false">I18/I$11</f>
        <v>0.0107540872228203</v>
      </c>
      <c r="J37" s="24" t="n">
        <f aca="false">J18/J$11</f>
        <v>0.0083562302531897</v>
      </c>
      <c r="K37" s="24" t="n">
        <f aca="false">K18/K$11</f>
        <v>0.00309779218611353</v>
      </c>
      <c r="L37" s="6"/>
      <c r="M37" s="25" t="s">
        <v>27</v>
      </c>
      <c r="N37" s="26" t="n">
        <f aca="false">N18/H$11</f>
        <v>-0.0208445542740763</v>
      </c>
      <c r="O37" s="26" t="n">
        <f aca="false">O18/I$11</f>
        <v>-0.0215713186029407</v>
      </c>
      <c r="P37" s="26" t="n">
        <f aca="false">P18/J$11</f>
        <v>-0.048793262729382</v>
      </c>
      <c r="Q37" s="26" t="n">
        <f aca="false">Q18/K$11</f>
        <v>-0.0229717112614242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0.0996648361221374</v>
      </c>
      <c r="I38" s="24" t="n">
        <f aca="false">I19/I$11</f>
        <v>0.0927472968507634</v>
      </c>
      <c r="J38" s="24" t="n">
        <f aca="false">J19/J$11</f>
        <v>0.0801173902646637</v>
      </c>
      <c r="K38" s="24" t="n">
        <f aca="false">K19/K$11</f>
        <v>0.0744070738219548</v>
      </c>
      <c r="L38" s="6"/>
      <c r="M38" s="25" t="s">
        <v>30</v>
      </c>
      <c r="N38" s="26" t="n">
        <f aca="false">N19/H$11</f>
        <v>-0.0380953399523774</v>
      </c>
      <c r="O38" s="26" t="n">
        <f aca="false">O19/I$11</f>
        <v>-0.259070513370109</v>
      </c>
      <c r="P38" s="26" t="n">
        <f aca="false">P19/J$11</f>
        <v>-0.0464663097565517</v>
      </c>
      <c r="Q38" s="26" t="n">
        <f aca="false">Q19/K$11</f>
        <v>-0.0360973537062728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0.587662308228452</v>
      </c>
      <c r="C39" s="24" t="n">
        <f aca="false">C20/C$16</f>
        <v>0.471574123584014</v>
      </c>
      <c r="D39" s="24" t="n">
        <f aca="false">D20/D$16</f>
        <v>0.458187358523701</v>
      </c>
      <c r="E39" s="24" t="n">
        <f aca="false">E20/E$16</f>
        <v>0.408046720205608</v>
      </c>
      <c r="F39" s="6"/>
      <c r="G39" s="25" t="s">
        <v>32</v>
      </c>
      <c r="H39" s="24" t="n">
        <f aca="false">H20/H$11</f>
        <v>0.106483022745155</v>
      </c>
      <c r="I39" s="24" t="n">
        <f aca="false">I20/I$11</f>
        <v>0.138752855390379</v>
      </c>
      <c r="J39" s="24" t="n">
        <f aca="false">J20/J$11</f>
        <v>0.150487358151053</v>
      </c>
      <c r="K39" s="24" t="n">
        <f aca="false">K20/K$11</f>
        <v>0.156442578708729</v>
      </c>
      <c r="L39" s="6"/>
      <c r="M39" s="25" t="s">
        <v>33</v>
      </c>
      <c r="N39" s="26" t="n">
        <f aca="false">N20/H$11</f>
        <v>-0.0461724275199253</v>
      </c>
      <c r="O39" s="26" t="n">
        <f aca="false">O20/I$11</f>
        <v>0.113988064479801</v>
      </c>
      <c r="P39" s="26" t="n">
        <f aca="false">P20/J$11</f>
        <v>-0.00545246682432127</v>
      </c>
      <c r="Q39" s="26" t="n">
        <f aca="false">Q20/K$11</f>
        <v>0.00410573673798154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0.00361942883288458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0.00373081382356061</v>
      </c>
      <c r="I40" s="24" t="n">
        <f aca="false">I21/I$11</f>
        <v>0.00417400258879459</v>
      </c>
      <c r="J40" s="24" t="n">
        <f aca="false">J21/J$11</f>
        <v>0.00538697912641227</v>
      </c>
      <c r="K40" s="24" t="n">
        <f aca="false">K21/K$11</f>
        <v>0.0058214788032136</v>
      </c>
      <c r="L40" s="6"/>
      <c r="M40" s="25" t="s">
        <v>36</v>
      </c>
      <c r="N40" s="26" t="n">
        <f aca="false">N21/H$11</f>
        <v>-6.74033697456617E-005</v>
      </c>
      <c r="O40" s="26" t="n">
        <f aca="false">O21/I$11</f>
        <v>-0.00062924021705833</v>
      </c>
      <c r="P40" s="26" t="n">
        <f aca="false">P21/J$11</f>
        <v>-0.0706677099743081</v>
      </c>
      <c r="Q40" s="26" t="n">
        <f aca="false">Q21/K$11</f>
        <v>-0.0707270379129318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0.102752208921595</v>
      </c>
      <c r="I41" s="24" t="n">
        <f aca="false">I22/I$11</f>
        <v>0.134578852801585</v>
      </c>
      <c r="J41" s="24" t="n">
        <f aca="false">J22/J$11</f>
        <v>0.14510037902464</v>
      </c>
      <c r="K41" s="24" t="n">
        <f aca="false">K22/K$11</f>
        <v>0.150621099905515</v>
      </c>
      <c r="L41" s="6"/>
      <c r="M41" s="25" t="s">
        <v>38</v>
      </c>
      <c r="N41" s="26" t="n">
        <f aca="false">N22/H$11</f>
        <v>0.249811935893177</v>
      </c>
      <c r="O41" s="26" t="n">
        <f aca="false">O22/I$11</f>
        <v>0.226929442139329</v>
      </c>
      <c r="P41" s="26" t="n">
        <f aca="false">P22/J$11</f>
        <v>0.274541936246883</v>
      </c>
      <c r="Q41" s="26" t="n">
        <f aca="false">Q22/K$11</f>
        <v>0.1192981447271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0.184761466065575</v>
      </c>
      <c r="I42" s="24" t="n">
        <f aca="false">I23/I$11</f>
        <v>0.108943135963622</v>
      </c>
      <c r="J42" s="24" t="n">
        <f aca="false">J23/J$11</f>
        <v>0.100275541109935</v>
      </c>
      <c r="K42" s="24" t="n">
        <f aca="false">K23/K$11</f>
        <v>0.114626617243839</v>
      </c>
      <c r="L42" s="6"/>
      <c r="M42" s="25" t="s">
        <v>40</v>
      </c>
      <c r="N42" s="26" t="n">
        <f aca="false">N23/H$11</f>
        <v>0.155392375286045</v>
      </c>
      <c r="O42" s="26" t="n">
        <f aca="false">O23/I$11</f>
        <v>0.232738125306742</v>
      </c>
      <c r="P42" s="26" t="n">
        <f aca="false">P23/J$11</f>
        <v>0.253993452786352</v>
      </c>
      <c r="Q42" s="26" t="n">
        <f aca="false">Q23/K$11</f>
        <v>0.338179773539938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0.0102752830723899</v>
      </c>
      <c r="I43" s="24" t="n">
        <f aca="false">I24/I$11</f>
        <v>0.0134579316244941</v>
      </c>
      <c r="J43" s="24" t="n">
        <f aca="false">J24/J$11</f>
        <v>0.0145099989988811</v>
      </c>
      <c r="K43" s="24" t="n">
        <f aca="false">K24/K$11</f>
        <v>0.0150621419380809</v>
      </c>
      <c r="L43" s="6"/>
      <c r="M43" s="2" t="s">
        <v>49</v>
      </c>
      <c r="N43" s="26" t="n">
        <f aca="false">N24/H11</f>
        <v>0.0107601645089919</v>
      </c>
      <c r="O43" s="26" t="n">
        <f aca="false">O24/I11</f>
        <v>0.17309169087772</v>
      </c>
      <c r="P43" s="26" t="n">
        <f aca="false">P24/J11</f>
        <v>0.150831265824032</v>
      </c>
      <c r="Q43" s="26" t="n">
        <f aca="false">Q24/K11</f>
        <v>0.344571994955485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0.0700264492492387</v>
      </c>
      <c r="K44" s="24" t="n">
        <f aca="false">K25/K$11</f>
        <v>0.07028456463105</v>
      </c>
      <c r="L44" s="6"/>
      <c r="M44" s="2" t="s">
        <v>50</v>
      </c>
      <c r="N44" s="26" t="n">
        <f aca="false">N24/B16</f>
        <v>0.00922817834560661</v>
      </c>
      <c r="O44" s="26" t="n">
        <f aca="false">O24/C16</f>
        <v>0.177400058826121</v>
      </c>
      <c r="P44" s="26" t="n">
        <f aca="false">P24/D16</f>
        <v>0.187565260314778</v>
      </c>
      <c r="Q44" s="26" t="n">
        <f aca="false">Q24/E16</f>
        <v>0.397362695014453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0.0579304195413672</v>
      </c>
      <c r="J45" s="24" t="n">
        <f aca="false">J26/J$11</f>
        <v>0.0389035829162437</v>
      </c>
      <c r="K45" s="24" t="n">
        <f aca="false">K26/K$11</f>
        <v>0.0638950587555</v>
      </c>
      <c r="L45" s="6"/>
      <c r="M45" s="2" t="s">
        <v>51</v>
      </c>
      <c r="N45" s="26" t="n">
        <f aca="false">N24/B20</f>
        <v>0.0157031992972726</v>
      </c>
      <c r="O45" s="26" t="n">
        <f aca="false">O24/C20</f>
        <v>0.376187008476762</v>
      </c>
      <c r="P45" s="26" t="n">
        <f aca="false">P24/D20</f>
        <v>0.409363673670792</v>
      </c>
      <c r="Q45" s="26" t="n">
        <f aca="false">Q24/E20</f>
        <v>0.973816662009263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0.277238391914779</v>
      </c>
      <c r="I46" s="24" t="n">
        <f aca="false">I27/I$11</f>
        <v>0.172133637599345</v>
      </c>
      <c r="J46" s="24" t="n">
        <f aca="false">J27/J$11</f>
        <v>0.121935888970212</v>
      </c>
      <c r="K46" s="24" t="n">
        <f aca="false">K27/K$11</f>
        <v>0.116005951824723</v>
      </c>
      <c r="L46" s="6"/>
      <c r="M46" s="2" t="s">
        <v>52</v>
      </c>
      <c r="N46" s="26" t="n">
        <f aca="false">N24/H22</f>
        <v>0.10471954444505</v>
      </c>
      <c r="O46" s="26" t="n">
        <f aca="false">O24/I22</f>
        <v>1.28617302997014</v>
      </c>
      <c r="P46" s="26" t="n">
        <f aca="false">P24/J22</f>
        <v>1.03949601536478</v>
      </c>
      <c r="Q46" s="26" t="n">
        <f aca="false">Q24/K22</f>
        <v>2.28767413842838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0.0223801474610752</v>
      </c>
      <c r="O47" s="26" t="n">
        <f aca="false">O24/(C22-C20)</f>
        <v>0.335714178172585</v>
      </c>
      <c r="P47" s="26" t="n">
        <f aca="false">P24/(D22-D20)</f>
        <v>0.34618103373098</v>
      </c>
      <c r="Q47" s="26" t="n">
        <f aca="false">Q24/(E22-E20)</f>
        <v>0.671273745036893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n">
        <f aca="false">P24/J25</f>
        <v>2.15391851851852</v>
      </c>
      <c r="Q48" s="26" t="n">
        <f aca="false">Q24/K25</f>
        <v>4.90252727272727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0.516209863137924</v>
      </c>
      <c r="O49" s="26" t="n">
        <f aca="false">O24/(O18*-1)</f>
        <v>8.02415902633431</v>
      </c>
      <c r="P49" s="26" t="n">
        <f aca="false">P24/(P18*-1)</f>
        <v>3.09123139931378</v>
      </c>
      <c r="Q49" s="26" t="n">
        <f aca="false">Q24/(Q18*-1)</f>
        <v>14.9998400656426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-0.340624424854864</v>
      </c>
      <c r="I50" s="28" t="n">
        <f aca="false">LN(I15/J15)</f>
        <v>0.116544680633842</v>
      </c>
      <c r="J50" s="28" t="n">
        <f aca="false">LN(J22/K22)</f>
        <v>0.171131966854903</v>
      </c>
      <c r="M50" s="2" t="s">
        <v>117</v>
      </c>
      <c r="N50" s="32" t="n">
        <f aca="false">(H15-H16-N28-N25)/($B$6)</f>
        <v>0.221732072048878</v>
      </c>
      <c r="O50" s="32" t="n">
        <f aca="false">(I15-I16-O28-O25)/($B$6)</f>
        <v>0.465341037983777</v>
      </c>
      <c r="P50" s="32" t="n">
        <f aca="false">(J15-J16-P28-P25)/($B$6)</f>
        <v>0.233493288897506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1.16056094885008</v>
      </c>
      <c r="C51" s="30" t="n">
        <f aca="false">C23/C17</f>
        <v>1.05155013288443</v>
      </c>
      <c r="D51" s="30" t="n">
        <f aca="false">D23/D17</f>
        <v>1.05116969765731</v>
      </c>
      <c r="E51" s="30" t="n">
        <f aca="false">E23/E17</f>
        <v>1.09366234981908</v>
      </c>
      <c r="G51" s="29" t="s">
        <v>58</v>
      </c>
      <c r="H51" s="63" t="n">
        <f aca="false">H13/H11</f>
        <v>0.185193494306343</v>
      </c>
      <c r="I51" s="63" t="n">
        <f aca="false">I13/I11</f>
        <v>0.210359256655394</v>
      </c>
      <c r="J51" s="63" t="n">
        <f aca="false">J13/J11</f>
        <v>0.210191001030686</v>
      </c>
      <c r="K51" s="63" t="n">
        <f aca="false">K13/K11</f>
        <v>0.214275274289507</v>
      </c>
      <c r="M51" s="2" t="s">
        <v>59</v>
      </c>
      <c r="N51" s="32" t="n">
        <f aca="false">(N11-N24-N25)/B16</f>
        <v>0.129443001941646</v>
      </c>
      <c r="O51" s="32" t="n">
        <f aca="false">(O11-O24-O25)/C16</f>
        <v>0.248155746489105</v>
      </c>
      <c r="P51" s="32" t="n">
        <f aca="false">(P11-P24-P25)/D16</f>
        <v>0.111332665820261</v>
      </c>
      <c r="Q51" s="32" t="n">
        <f aca="false">(Q11-Q24-Q25)/E16</f>
        <v>-0.155546615205619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0.0913224257724323</v>
      </c>
      <c r="C52" s="31" t="n">
        <f aca="false">I20/C16</f>
        <v>0.142206506757939</v>
      </c>
      <c r="D52" s="31" t="n">
        <f aca="false">J20/D16</f>
        <v>0.187137596117609</v>
      </c>
      <c r="E52" s="31" t="n">
        <f aca="false">K20/E16</f>
        <v>0.180410612588357</v>
      </c>
      <c r="F52" s="31"/>
      <c r="G52" s="29" t="s">
        <v>61</v>
      </c>
      <c r="H52" s="63" t="n">
        <f aca="false">H16/H11</f>
        <v>0.0787929225466883</v>
      </c>
      <c r="I52" s="63" t="n">
        <f aca="false">I16/I11</f>
        <v>0.0757048625867276</v>
      </c>
      <c r="J52" s="63" t="n">
        <f aca="false">J16/J11</f>
        <v>0.0668703312458535</v>
      </c>
      <c r="K52" s="63" t="n">
        <f aca="false">K16/K11</f>
        <v>0.0665896731208663</v>
      </c>
      <c r="M52" s="6"/>
      <c r="N52" s="4" t="n">
        <f aca="false">N24+N18</f>
        <v>-81090</v>
      </c>
      <c r="O52" s="4" t="n">
        <f aca="false">O24+O18</f>
        <v>1307779</v>
      </c>
      <c r="P52" s="4" t="n">
        <f aca="false">P24+P18</f>
        <v>786853</v>
      </c>
      <c r="Q52" s="4" t="n">
        <f aca="false">Q24+Q18</f>
        <v>2013303</v>
      </c>
      <c r="R52" s="4" t="n">
        <f aca="false">AVERAGE(N52:Q52)</f>
        <v>1006711.25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0.155399494733174</v>
      </c>
      <c r="C53" s="31" t="n">
        <f aca="false">I20/C20</f>
        <v>0.301557061013344</v>
      </c>
      <c r="D53" s="31" t="n">
        <f aca="false">J20/D20</f>
        <v>0.408430290876148</v>
      </c>
      <c r="E53" s="31" t="n">
        <f aca="false">K20/E20</f>
        <v>0.442132245291545</v>
      </c>
      <c r="G53" s="29" t="s">
        <v>11</v>
      </c>
      <c r="H53" s="71" t="n">
        <f aca="false">H17/H11</f>
        <v>0.00438407932406608</v>
      </c>
      <c r="I53" s="71" t="n">
        <f aca="false">I17/I11</f>
        <v>0.00628834704121541</v>
      </c>
      <c r="J53" s="71" t="n">
        <f aca="false">J17/J11</f>
        <v>0.00489082876562044</v>
      </c>
      <c r="K53" s="71" t="n">
        <f aca="false">K17/K11</f>
        <v>0.00471960851497501</v>
      </c>
      <c r="M53" s="6"/>
      <c r="N53" s="28" t="e">
        <f aca="false">LN(N52/O52)</f>
        <v>#VALUE!</v>
      </c>
      <c r="O53" s="28" t="n">
        <f aca="false">LN(O52/P52)</f>
        <v>0.508044111786724</v>
      </c>
      <c r="P53" s="28" t="n">
        <f aca="false">LN(P52/Q52)</f>
        <v>-0.939490490211708</v>
      </c>
    </row>
    <row r="54" customFormat="false" ht="15" hidden="false" customHeight="false" outlineLevel="0" collapsed="false">
      <c r="A54" s="29" t="s">
        <v>63</v>
      </c>
      <c r="B54" s="30" t="e">
        <f aca="false">H11/B12</f>
        <v>#DIV/0!</v>
      </c>
      <c r="C54" s="30" t="e">
        <f aca="false">I11/C12</f>
        <v>#DIV/0!</v>
      </c>
      <c r="D54" s="30" t="e">
        <f aca="false">J11/D12</f>
        <v>#DIV/0!</v>
      </c>
      <c r="E54" s="30" t="e">
        <f aca="false">K11/E12</f>
        <v>#DIV/0!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0.482606935419149</v>
      </c>
      <c r="K54" s="63" t="n">
        <f aca="false">K25/K22</f>
        <v>0.466631598595015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0.412337691771548</v>
      </c>
      <c r="C55" s="31" t="n">
        <f aca="false">(C22-C20)/C16</f>
        <v>0.528425876415986</v>
      </c>
      <c r="D55" s="31" t="n">
        <f aca="false">(D22-D20)/D16</f>
        <v>0.541812641476299</v>
      </c>
      <c r="E55" s="31" t="n">
        <f aca="false">(E22-E20)/E16</f>
        <v>0.591953279794392</v>
      </c>
      <c r="G55" s="29" t="s">
        <v>66</v>
      </c>
      <c r="H55" s="63" t="n">
        <f aca="false">H22/H11</f>
        <v>0.102752208921595</v>
      </c>
      <c r="I55" s="63" t="n">
        <f aca="false">I22/I11</f>
        <v>0.134578852801585</v>
      </c>
      <c r="J55" s="63" t="n">
        <f aca="false">J22/J11</f>
        <v>0.14510037902464</v>
      </c>
      <c r="K55" s="63" t="n">
        <f aca="false">K22/K11</f>
        <v>0.150621099905515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0.701657543793421</v>
      </c>
      <c r="C56" s="31" t="n">
        <f aca="false">(C22-C20)/C20</f>
        <v>1.1205574054825</v>
      </c>
      <c r="D56" s="31" t="n">
        <f aca="false">(D22-D20)/D20</f>
        <v>1.18251329155401</v>
      </c>
      <c r="E56" s="31" t="n">
        <f aca="false">(E22-E20)/E20</f>
        <v>1.45069976177266</v>
      </c>
      <c r="G56" s="33" t="s">
        <v>68</v>
      </c>
      <c r="H56" s="34" t="n">
        <f aca="false">H13/B16</f>
        <v>0.158826437316721</v>
      </c>
      <c r="I56" s="34" t="n">
        <f aca="false">I13/C16</f>
        <v>0.215595239240276</v>
      </c>
      <c r="J56" s="34" t="n">
        <f aca="false">J13/D16</f>
        <v>0.261381681104096</v>
      </c>
      <c r="K56" s="34" t="n">
        <f aca="false">K13/E16</f>
        <v>0.247103658199615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0.857624280548396</v>
      </c>
      <c r="C57" s="30" t="n">
        <f aca="false">I11/C16</f>
        <v>1.02489066879267</v>
      </c>
      <c r="D57" s="30" t="n">
        <f aca="false">J11/D16</f>
        <v>1.24354363327827</v>
      </c>
      <c r="E57" s="30" t="n">
        <f aca="false">K11/E16</f>
        <v>1.15320658913615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0.0986083069982502</v>
      </c>
      <c r="K57" s="35" t="n">
        <f aca="false">K25/$B$5</f>
        <v>0.0803475094059816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1.70165754379342</v>
      </c>
      <c r="C58" s="30" t="n">
        <f aca="false">C16/C20</f>
        <v>2.1205574054825</v>
      </c>
      <c r="D58" s="30" t="n">
        <f aca="false">D16/D20</f>
        <v>2.18251329155401</v>
      </c>
      <c r="E58" s="30" t="n">
        <f aca="false">E16/E20</f>
        <v>2.45069976177266</v>
      </c>
      <c r="G58" s="36" t="s">
        <v>72</v>
      </c>
      <c r="H58" s="37" t="n">
        <f aca="false">H22/$B$7/1000</f>
        <v>3.9303959367114</v>
      </c>
      <c r="I58" s="37" t="n">
        <f aca="false">I22/$B$7/1000</f>
        <v>5.52544945223602</v>
      </c>
      <c r="J58" s="37" t="n">
        <f aca="false">J22/$B$7/1000</f>
        <v>5.32264693001825</v>
      </c>
      <c r="K58" s="37" t="n">
        <f aca="false">K22/$B$7/1000</f>
        <v>4.48544969084401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26.2105360945511</v>
      </c>
      <c r="I59" s="37" t="n">
        <f aca="false">C20/$B$7/1000</f>
        <v>18.8913596264403</v>
      </c>
      <c r="J59" s="37" t="n">
        <f aca="false">D20/$B$7/1000</f>
        <v>13.515782251351</v>
      </c>
      <c r="K59" s="37" t="n">
        <f aca="false">E20/$B$7/1000</f>
        <v>10.5371448828915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48.1445755274013</v>
      </c>
      <c r="I60" s="38" t="n">
        <f aca="false">SQRT(22.5*I58*I59)</f>
        <v>48.4625957388576</v>
      </c>
      <c r="J60" s="38" t="n">
        <f aca="false">SQRT(22.5*J58*J59)</f>
        <v>40.232376022382</v>
      </c>
      <c r="K60" s="38" t="n">
        <f aca="false">SQRT(22.5*K58*K59)</f>
        <v>32.6103702568715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1.83355304914732</v>
      </c>
      <c r="I61" s="39" t="n">
        <f aca="false">I58-(C20*0.08/1000/$B$7)</f>
        <v>4.01414068212079</v>
      </c>
      <c r="J61" s="39" t="n">
        <f aca="false">J58-(D20*0.08/1000/$B$7)</f>
        <v>4.24138434991017</v>
      </c>
      <c r="K61" s="39" t="n">
        <f aca="false">K58-(E20*0.08/1000/$B$7)</f>
        <v>3.64247810021268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2.56874632321425</v>
      </c>
      <c r="K62" s="41" t="n">
        <f aca="false">K25/$B$7/1000</f>
        <v>2.09305255965605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2.56874632321425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1.13588901944591</v>
      </c>
      <c r="I65" s="6" t="n">
        <f aca="false">J51/I51</f>
        <v>0.99920015107781</v>
      </c>
      <c r="J65" s="6" t="n">
        <f aca="false">K51/J51</f>
        <v>1.01943124700293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0.931653343442578</v>
      </c>
      <c r="I66" s="6" t="n">
        <f aca="false">I11/J11</f>
        <v>1.11926178635916</v>
      </c>
      <c r="J66" s="6" t="n">
        <f aca="false">J11/K11</f>
        <v>1.23179641756379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-5.28573581324158</v>
      </c>
      <c r="I67" s="6" t="n">
        <f aca="false">(O13/I11)/(P13/J11)</f>
        <v>-0.958313894874225</v>
      </c>
      <c r="J67" s="6" t="n">
        <f aca="false">(P13/J11)/(Q13/K11)</f>
        <v>-0.255321211178533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1.04079077425737</v>
      </c>
      <c r="I68" s="6" t="n">
        <f aca="false">I52/J52</f>
        <v>1.13211436486524</v>
      </c>
      <c r="J68" s="6" t="n">
        <f aca="false">J52/K52</f>
        <v>1.00421473949088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0.697175155145178</v>
      </c>
      <c r="I69" s="6" t="n">
        <f aca="false">I53/J53</f>
        <v>1.28574263025086</v>
      </c>
      <c r="J69" s="6" t="n">
        <f aca="false">J53/K53</f>
        <v>1.03627848583249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0.802457664854509</v>
      </c>
      <c r="I70" s="6" t="n">
        <f aca="false">C58/D58</f>
        <v>0.971612596215898</v>
      </c>
      <c r="J70" s="6" t="n">
        <f aca="false">D58/E58</f>
        <v>0.890567390423761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0.883931757643063</v>
      </c>
      <c r="I71" s="6" t="n">
        <f aca="false">((1-C11)/C16)/((1-D11)/D16)</f>
        <v>0.726810066412781</v>
      </c>
      <c r="J71" s="6" t="n">
        <f aca="false">((1-D11)/D16)/((1-E11)/E16)</f>
        <v>0.938379298486299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0.0782636425835358</v>
      </c>
      <c r="I72" s="6" t="n">
        <f aca="false">((I13-I16-I17)-O24)/C16</f>
        <v>-0.0458388950378849</v>
      </c>
      <c r="J72" s="6" t="n">
        <f aca="false">((J13-J16-J17)-P24)/D16</f>
        <v>-0.0154217128596141</v>
      </c>
      <c r="K72" s="6" t="n">
        <f aca="false">((K13-K16-K17)-Q24)/E16</f>
        <v>-0.232493370263856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-7.90862453099937</v>
      </c>
      <c r="I73" s="6" t="n">
        <f aca="false">-4.84 + 0.92 *I67  + 0.528 *I65 + 0.404 *I71 + 0.892 *I66 + 0.115 *I69 - 0.172 *I68- 0.327 *I70 + 4.697 *I72</f>
        <v>-4.48194420048559</v>
      </c>
      <c r="J73" s="6" t="n">
        <f aca="false">-4.84 + 0.92 *J67  + 0.528 *J65 + 0.404 *J71 + 0.892 *J66 + 0.115 *J69 - 0.172 *J68- 0.327 *J70 + 4.697 *J72</f>
        <v>-3.4759724061032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0.00100616264301496</v>
      </c>
      <c r="I75" s="6" t="n">
        <f aca="false">I59*$B$7/$B$5</f>
        <v>0.000725196167805087</v>
      </c>
      <c r="J75" s="6" t="n">
        <f aca="false">J59*$B$7/$B$5</f>
        <v>0.000518840024613656</v>
      </c>
      <c r="K75" s="6" t="n">
        <f aca="false">K59*$B$7/$B$5</f>
        <v>0.000404496936154076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n">
        <f aca="false">(H15-H16)/$B$6</f>
        <v>0.126542221547646</v>
      </c>
      <c r="I78" s="75" t="n">
        <f aca="false">(I15-I16)/$B$6</f>
        <v>0.166157384637125</v>
      </c>
      <c r="J78" s="75" t="n">
        <f aca="false">(J15-J16)/$B$6</f>
        <v>0.15601761206296</v>
      </c>
      <c r="K78" s="75" t="n">
        <f aca="false">(K15-K16)/$B$6</f>
        <v>0.127065156479023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9.45148299844086</v>
      </c>
      <c r="I79" s="75" t="n">
        <f aca="false">$B$6/(I15-I16)</f>
        <v>6.01839034830695</v>
      </c>
      <c r="J79" s="75" t="n">
        <f aca="false">$B$6/(J15-J16)</f>
        <v>6.40953278785253</v>
      </c>
      <c r="K79" s="75" t="n">
        <f aca="false">$B$6/(K15-K16)</f>
        <v>7.86997810973528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1" sqref="N10:Q10 G20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2230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IFERROR(__xludf.dummyfunction("GoogleFinance(""TADAWUL:""&amp;B1,""eps"")"),"2.04")</f>
        <v>2.04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IFERROR(__xludf.dummyfunction("GoogleFinance(""TADAWUL:""&amp;B1,""marketcap"")/1000"),"1,938,305.98")</f>
        <v>1,938,305.98</v>
      </c>
      <c r="C5" s="6" t="n">
        <f aca="false">H11/1000/B7</f>
        <v>33.9347090449083</v>
      </c>
      <c r="D5" s="6" t="n">
        <f aca="false">100/C5</f>
        <v>2.94683534394424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3714565.98</v>
      </c>
      <c r="C6" s="28" t="n">
        <f aca="false">H20/B6</f>
        <v>0.0439768739819235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IFERROR(__xludf.dummyfunction("GoogleFinance(""TADAWUL:""&amp;B1,""shares"")/1000000"),"63.24")</f>
        <v>63.24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1596549</v>
      </c>
      <c r="C11" s="11" t="n">
        <v>1821595</v>
      </c>
      <c r="D11" s="11" t="n">
        <v>1686719</v>
      </c>
      <c r="E11" s="11" t="n">
        <v>1587097</v>
      </c>
      <c r="G11" s="10" t="s">
        <v>7</v>
      </c>
      <c r="H11" s="11" t="n">
        <v>2146031</v>
      </c>
      <c r="I11" s="11" t="n">
        <v>2409773</v>
      </c>
      <c r="J11" s="11" t="n">
        <v>2484315</v>
      </c>
      <c r="K11" s="11" t="n">
        <v>2275121</v>
      </c>
      <c r="M11" s="10" t="s">
        <v>8</v>
      </c>
      <c r="N11" s="11" t="n">
        <v>164233</v>
      </c>
      <c r="O11" s="11" t="n">
        <v>280922</v>
      </c>
      <c r="P11" s="11" t="n">
        <v>312848</v>
      </c>
      <c r="Q11" s="11" t="n">
        <v>325919</v>
      </c>
    </row>
    <row r="12" customFormat="false" ht="15" hidden="false" customHeight="false" outlineLevel="0" collapsed="false">
      <c r="A12" s="10" t="s">
        <v>9</v>
      </c>
      <c r="B12" s="11" t="n">
        <v>809152</v>
      </c>
      <c r="C12" s="11" t="n">
        <v>612285</v>
      </c>
      <c r="D12" s="11" t="n">
        <v>549641</v>
      </c>
      <c r="E12" s="11" t="n">
        <v>657357</v>
      </c>
      <c r="G12" s="10" t="s">
        <v>10</v>
      </c>
      <c r="H12" s="11" t="n">
        <v>1740810</v>
      </c>
      <c r="I12" s="11" t="n">
        <v>1916780</v>
      </c>
      <c r="J12" s="11" t="n">
        <v>1981519</v>
      </c>
      <c r="K12" s="11" t="n">
        <v>1795635</v>
      </c>
      <c r="M12" s="10" t="s">
        <v>11</v>
      </c>
      <c r="N12" s="11" t="n">
        <v>21560</v>
      </c>
      <c r="O12" s="11" t="n">
        <v>21240</v>
      </c>
      <c r="P12" s="11" t="n">
        <v>17734</v>
      </c>
      <c r="Q12" s="11" t="n">
        <v>18793</v>
      </c>
    </row>
    <row r="13" customFormat="false" ht="15" hidden="false" customHeight="false" outlineLevel="0" collapsed="false">
      <c r="A13" s="10" t="s">
        <v>12</v>
      </c>
      <c r="B13" s="18"/>
      <c r="C13" s="18"/>
      <c r="D13" s="18"/>
      <c r="E13" s="18"/>
      <c r="G13" s="10" t="s">
        <v>13</v>
      </c>
      <c r="H13" s="11" t="n">
        <v>405221</v>
      </c>
      <c r="I13" s="11" t="n">
        <v>492993</v>
      </c>
      <c r="J13" s="11" t="n">
        <v>502796</v>
      </c>
      <c r="K13" s="11" t="n">
        <v>479486</v>
      </c>
      <c r="M13" s="10" t="s">
        <v>14</v>
      </c>
      <c r="N13" s="11" t="n">
        <v>142978</v>
      </c>
      <c r="O13" s="13" t="n">
        <v>-430029</v>
      </c>
      <c r="P13" s="13" t="n">
        <v>-12305</v>
      </c>
      <c r="Q13" s="13" t="n">
        <v>-273374</v>
      </c>
    </row>
    <row r="14" customFormat="false" ht="15" hidden="false" customHeight="false" outlineLevel="0" collapsed="false">
      <c r="A14" s="10" t="s">
        <v>15</v>
      </c>
      <c r="B14" s="11" t="n">
        <v>412087</v>
      </c>
      <c r="C14" s="11" t="n">
        <v>374390</v>
      </c>
      <c r="D14" s="11" t="n">
        <v>287903</v>
      </c>
      <c r="E14" s="11" t="n">
        <v>213256</v>
      </c>
      <c r="G14" s="10" t="s">
        <v>16</v>
      </c>
      <c r="H14" s="11" t="n">
        <v>2240</v>
      </c>
      <c r="I14" s="11" t="n">
        <v>7542</v>
      </c>
      <c r="J14" s="11" t="n">
        <v>5258</v>
      </c>
      <c r="K14" s="11" t="n">
        <v>16828</v>
      </c>
      <c r="M14" s="10" t="s">
        <v>9</v>
      </c>
      <c r="N14" s="13" t="n">
        <v>-198062</v>
      </c>
      <c r="O14" s="13" t="n">
        <v>-25219</v>
      </c>
      <c r="P14" s="11" t="n">
        <v>105967</v>
      </c>
      <c r="Q14" s="13" t="n">
        <v>-139275</v>
      </c>
    </row>
    <row r="15" customFormat="false" ht="15" hidden="false" customHeight="false" outlineLevel="0" collapsed="false">
      <c r="A15" s="10" t="s">
        <v>17</v>
      </c>
      <c r="B15" s="11" t="n">
        <v>503718</v>
      </c>
      <c r="C15" s="11" t="n">
        <v>490446</v>
      </c>
      <c r="D15" s="11" t="n">
        <v>477681</v>
      </c>
      <c r="E15" s="11" t="n">
        <v>475886</v>
      </c>
      <c r="G15" s="10" t="s">
        <v>18</v>
      </c>
      <c r="H15" s="11" t="n">
        <v>407461</v>
      </c>
      <c r="I15" s="11" t="n">
        <v>500535</v>
      </c>
      <c r="J15" s="11" t="n">
        <v>508054</v>
      </c>
      <c r="K15" s="11" t="n">
        <v>496314</v>
      </c>
      <c r="M15" s="10" t="s">
        <v>19</v>
      </c>
      <c r="N15" s="13" t="n">
        <v>-3977</v>
      </c>
      <c r="O15" s="13" t="n">
        <v>-925</v>
      </c>
      <c r="P15" s="13" t="n">
        <v>-12750</v>
      </c>
      <c r="Q15" s="13" t="n">
        <v>-3130</v>
      </c>
    </row>
    <row r="16" customFormat="false" ht="15" hidden="false" customHeight="false" outlineLevel="0" collapsed="false">
      <c r="A16" s="10" t="s">
        <v>20</v>
      </c>
      <c r="B16" s="11" t="n">
        <v>3321506</v>
      </c>
      <c r="C16" s="11" t="n">
        <v>3298716</v>
      </c>
      <c r="D16" s="11" t="n">
        <v>3001944</v>
      </c>
      <c r="E16" s="11" t="n">
        <v>2933596</v>
      </c>
      <c r="G16" s="10" t="s">
        <v>21</v>
      </c>
      <c r="H16" s="11" t="n">
        <v>197954</v>
      </c>
      <c r="I16" s="11" t="n">
        <v>200186</v>
      </c>
      <c r="J16" s="11" t="n">
        <v>180634</v>
      </c>
      <c r="K16" s="11" t="n">
        <v>159991</v>
      </c>
      <c r="M16" s="10" t="s">
        <v>22</v>
      </c>
      <c r="N16" s="13" t="n">
        <v>-131026</v>
      </c>
      <c r="O16" s="13" t="n">
        <v>-34280</v>
      </c>
      <c r="P16" s="13" t="n">
        <v>-76758</v>
      </c>
      <c r="Q16" s="11" t="n">
        <v>213005</v>
      </c>
    </row>
    <row r="17" customFormat="false" ht="15" hidden="false" customHeight="false" outlineLevel="0" collapsed="false">
      <c r="A17" s="10" t="s">
        <v>23</v>
      </c>
      <c r="B17" s="11" t="n">
        <v>1676098</v>
      </c>
      <c r="C17" s="11" t="n">
        <v>1643708</v>
      </c>
      <c r="D17" s="11" t="n">
        <v>1403906</v>
      </c>
      <c r="E17" s="11" t="n">
        <v>1385508</v>
      </c>
      <c r="G17" s="10" t="s">
        <v>11</v>
      </c>
      <c r="H17" s="11" t="n">
        <v>10129</v>
      </c>
      <c r="I17" s="11" t="n">
        <v>9738</v>
      </c>
      <c r="J17" s="11" t="n">
        <v>7662</v>
      </c>
      <c r="K17" s="11" t="n">
        <v>4022</v>
      </c>
      <c r="M17" s="10" t="s">
        <v>24</v>
      </c>
      <c r="N17" s="13" t="n">
        <v>-452</v>
      </c>
      <c r="O17" s="13" t="n">
        <v>-733</v>
      </c>
      <c r="P17" s="13" t="n">
        <v>-19370</v>
      </c>
      <c r="Q17" s="13" t="n">
        <v>-30572</v>
      </c>
    </row>
    <row r="18" customFormat="false" ht="15" hidden="false" customHeight="false" outlineLevel="0" collapsed="false">
      <c r="A18" s="10" t="s">
        <v>25</v>
      </c>
      <c r="B18" s="11" t="n">
        <v>125609</v>
      </c>
      <c r="C18" s="11" t="n">
        <v>47275</v>
      </c>
      <c r="D18" s="11" t="n">
        <v>47195</v>
      </c>
      <c r="E18" s="11" t="n">
        <v>41847</v>
      </c>
      <c r="G18" s="10" t="s">
        <v>26</v>
      </c>
      <c r="H18" s="11" t="n">
        <v>36023</v>
      </c>
      <c r="I18" s="11" t="n">
        <v>10968</v>
      </c>
      <c r="J18" s="11" t="n">
        <v>8201</v>
      </c>
      <c r="K18" s="11" t="n">
        <v>7670</v>
      </c>
      <c r="M18" s="10" t="s">
        <v>27</v>
      </c>
      <c r="N18" s="13" t="n">
        <v>-63621</v>
      </c>
      <c r="O18" s="13" t="n">
        <v>-122756</v>
      </c>
      <c r="P18" s="13" t="n">
        <v>-94224</v>
      </c>
      <c r="Q18" s="13" t="n">
        <v>-35466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244106</v>
      </c>
      <c r="I19" s="11" t="n">
        <v>220892</v>
      </c>
      <c r="J19" s="11" t="n">
        <v>196497</v>
      </c>
      <c r="K19" s="11" t="n">
        <v>171683</v>
      </c>
      <c r="M19" s="10" t="s">
        <v>30</v>
      </c>
      <c r="N19" s="11" t="n">
        <v>2770</v>
      </c>
      <c r="O19" s="11" t="n">
        <v>232461</v>
      </c>
      <c r="P19" s="11" t="n">
        <v>2140</v>
      </c>
      <c r="Q19" s="11" t="n">
        <v>17500</v>
      </c>
    </row>
    <row r="20" customFormat="false" ht="15" hidden="false" customHeight="false" outlineLevel="0" collapsed="false">
      <c r="A20" s="10" t="s">
        <v>31</v>
      </c>
      <c r="B20" s="11" t="n">
        <v>1514199</v>
      </c>
      <c r="C20" s="11" t="n">
        <v>1602261</v>
      </c>
      <c r="D20" s="11" t="n">
        <v>1545350</v>
      </c>
      <c r="E20" s="11" t="n">
        <v>1500739</v>
      </c>
      <c r="G20" s="10" t="s">
        <v>32</v>
      </c>
      <c r="H20" s="11" t="n">
        <v>163355</v>
      </c>
      <c r="I20" s="11" t="n">
        <v>279643</v>
      </c>
      <c r="J20" s="11" t="n">
        <v>311557</v>
      </c>
      <c r="K20" s="11" t="n">
        <v>324631</v>
      </c>
      <c r="M20" s="10" t="s">
        <v>33</v>
      </c>
      <c r="N20" s="11" t="n">
        <v>220427</v>
      </c>
      <c r="O20" s="11" t="n">
        <v>222087</v>
      </c>
      <c r="P20" s="11" t="n">
        <v>97820</v>
      </c>
      <c r="Q20" s="11" t="n">
        <v>93832</v>
      </c>
    </row>
    <row r="21" customFormat="false" ht="15" hidden="false" customHeight="false" outlineLevel="0" collapsed="false">
      <c r="A21" s="10" t="s">
        <v>34</v>
      </c>
      <c r="B21" s="11" t="n">
        <v>5600</v>
      </c>
      <c r="C21" s="15"/>
      <c r="D21" s="18"/>
      <c r="E21" s="15"/>
      <c r="G21" s="10" t="s">
        <v>35</v>
      </c>
      <c r="H21" s="11" t="n">
        <v>25539</v>
      </c>
      <c r="I21" s="11" t="n">
        <v>28012</v>
      </c>
      <c r="J21" s="11" t="n">
        <v>27996</v>
      </c>
      <c r="K21" s="11" t="n">
        <v>24028</v>
      </c>
      <c r="M21" s="10" t="s">
        <v>36</v>
      </c>
      <c r="N21" s="13" t="n">
        <v>-223140</v>
      </c>
      <c r="O21" s="13" t="n">
        <v>-192508</v>
      </c>
      <c r="P21" s="13" t="n">
        <v>-239865</v>
      </c>
      <c r="Q21" s="13" t="n">
        <v>-222671</v>
      </c>
    </row>
    <row r="22" customFormat="false" ht="15" hidden="false" customHeight="false" outlineLevel="0" collapsed="false">
      <c r="A22" s="10" t="s">
        <v>37</v>
      </c>
      <c r="B22" s="11" t="n">
        <v>3321506</v>
      </c>
      <c r="C22" s="11" t="n">
        <v>3298716</v>
      </c>
      <c r="D22" s="11" t="n">
        <v>3001944</v>
      </c>
      <c r="E22" s="11" t="n">
        <v>2933596</v>
      </c>
      <c r="G22" s="10" t="s">
        <v>8</v>
      </c>
      <c r="H22" s="11" t="n">
        <v>137816</v>
      </c>
      <c r="I22" s="11" t="n">
        <v>251631</v>
      </c>
      <c r="J22" s="11" t="n">
        <v>283561</v>
      </c>
      <c r="K22" s="11" t="n">
        <v>300603</v>
      </c>
      <c r="M22" s="10" t="s">
        <v>38</v>
      </c>
      <c r="N22" s="11" t="n">
        <v>99357</v>
      </c>
      <c r="O22" s="11" t="n">
        <v>149097</v>
      </c>
      <c r="P22" s="11" t="n">
        <v>67860</v>
      </c>
      <c r="Q22" s="11" t="n">
        <v>103299</v>
      </c>
    </row>
    <row r="23" customFormat="false" ht="15" hidden="false" customHeight="false" outlineLevel="0" collapsed="false">
      <c r="A23" s="6"/>
      <c r="B23" s="4" t="n">
        <f aca="false">B11+B12</f>
        <v>2405701</v>
      </c>
      <c r="C23" s="4" t="n">
        <f aca="false">C11+C12</f>
        <v>2433880</v>
      </c>
      <c r="D23" s="4" t="n">
        <f aca="false">D11+D12</f>
        <v>2236360</v>
      </c>
      <c r="E23" s="4" t="n">
        <f aca="false">E11+E12</f>
        <v>2244454</v>
      </c>
      <c r="G23" s="10" t="s">
        <v>39</v>
      </c>
      <c r="H23" s="11" t="n">
        <v>371434</v>
      </c>
      <c r="I23" s="11" t="n">
        <v>379224</v>
      </c>
      <c r="J23" s="11" t="n">
        <v>405849</v>
      </c>
      <c r="K23" s="11" t="n">
        <v>396646</v>
      </c>
      <c r="M23" s="10" t="s">
        <v>40</v>
      </c>
      <c r="N23" s="11" t="n">
        <v>31047</v>
      </c>
      <c r="O23" s="11" t="n">
        <v>99357</v>
      </c>
      <c r="P23" s="11" t="n">
        <v>149097</v>
      </c>
      <c r="Q23" s="11" t="n">
        <v>67860</v>
      </c>
    </row>
    <row r="24" customFormat="false" ht="15" hidden="false" customHeight="false" outlineLevel="0" collapsed="false">
      <c r="A24" s="6"/>
      <c r="B24" s="6" t="n">
        <f aca="false">B16/(B22-B20)</f>
        <v>1.83782058056545</v>
      </c>
      <c r="C24" s="6" t="n">
        <f aca="false">C16/(C22-C20)</f>
        <v>1.94447598079525</v>
      </c>
      <c r="D24" s="6" t="n">
        <f aca="false">D16/(D22-D20)</f>
        <v>2.06093393217328</v>
      </c>
      <c r="E24" s="6" t="n">
        <f aca="false">E16/(E22-E20)</f>
        <v>2.04737527890083</v>
      </c>
      <c r="G24" s="10" t="s">
        <v>41</v>
      </c>
      <c r="H24" s="11" t="n">
        <v>53782</v>
      </c>
      <c r="I24" s="11" t="n">
        <v>65163</v>
      </c>
      <c r="J24" s="11" t="n">
        <v>68356</v>
      </c>
      <c r="K24" s="11" t="n">
        <v>70060</v>
      </c>
      <c r="M24" s="2" t="s">
        <v>42</v>
      </c>
      <c r="N24" s="12" t="n">
        <f aca="false">SUM(N11:N17)</f>
        <v>-4746</v>
      </c>
      <c r="O24" s="12" t="n">
        <f aca="false">SUM(O11:O17)</f>
        <v>-189024</v>
      </c>
      <c r="P24" s="12" t="n">
        <f aca="false">SUM(P11:P17)</f>
        <v>315366</v>
      </c>
      <c r="Q24" s="12" t="n">
        <f aca="false">SUM(Q11:Q17)</f>
        <v>111366</v>
      </c>
    </row>
    <row r="25" customFormat="false" ht="15" hidden="false" customHeight="false" outlineLevel="0" collapsed="false">
      <c r="A25" s="6"/>
      <c r="B25" s="6" t="n">
        <f aca="false">B24/B5*1000</f>
        <v>0.000948158133715013</v>
      </c>
      <c r="G25" s="10" t="s">
        <v>43</v>
      </c>
      <c r="H25" s="11" t="n">
        <v>221340</v>
      </c>
      <c r="I25" s="11" t="n">
        <v>189720</v>
      </c>
      <c r="J25" s="11" t="n">
        <v>237150</v>
      </c>
      <c r="K25" s="11" t="n">
        <v>221340</v>
      </c>
      <c r="M25" s="2" t="s">
        <v>44</v>
      </c>
      <c r="N25" s="12" t="n">
        <f aca="false">N18+N19</f>
        <v>-60851</v>
      </c>
      <c r="O25" s="12" t="n">
        <f aca="false">O18+O19</f>
        <v>109705</v>
      </c>
      <c r="P25" s="12" t="n">
        <f aca="false">P18+P19</f>
        <v>-92084</v>
      </c>
      <c r="Q25" s="12" t="n">
        <f aca="false">Q18+Q19</f>
        <v>-17966</v>
      </c>
    </row>
    <row r="26" customFormat="false" ht="15" hidden="false" customHeight="false" outlineLevel="0" collapsed="false">
      <c r="A26" s="6"/>
      <c r="B26" s="4" t="n">
        <f aca="false">B23-B17</f>
        <v>729603</v>
      </c>
      <c r="C26" s="4" t="n">
        <f aca="false">C23-C17</f>
        <v>790172</v>
      </c>
      <c r="G26" s="10" t="s">
        <v>45</v>
      </c>
      <c r="H26" s="11" t="n">
        <v>1800</v>
      </c>
      <c r="I26" s="11" t="n">
        <v>1800</v>
      </c>
      <c r="J26" s="11" t="n">
        <v>1800</v>
      </c>
      <c r="K26" s="18"/>
      <c r="M26" s="2" t="s">
        <v>46</v>
      </c>
      <c r="N26" s="12" t="n">
        <f aca="false">N20+N21</f>
        <v>-2713</v>
      </c>
      <c r="O26" s="12" t="n">
        <f aca="false">O20+O21</f>
        <v>29579</v>
      </c>
      <c r="P26" s="12" t="n">
        <f aca="false">P20+P21</f>
        <v>-142045</v>
      </c>
      <c r="Q26" s="12" t="n">
        <f aca="false">Q20+Q21</f>
        <v>-128839</v>
      </c>
    </row>
    <row r="27" customFormat="false" ht="15" hidden="false" customHeight="false" outlineLevel="0" collapsed="false">
      <c r="A27" s="6"/>
      <c r="B27" s="6" t="n">
        <f aca="false">B22/90000</f>
        <v>36.9056222222222</v>
      </c>
      <c r="F27" s="6" t="n">
        <f aca="false">H20*0.025</f>
        <v>4083.875</v>
      </c>
      <c r="G27" s="10" t="s">
        <v>47</v>
      </c>
      <c r="H27" s="11" t="n">
        <v>232328</v>
      </c>
      <c r="I27" s="11" t="n">
        <v>374172</v>
      </c>
      <c r="J27" s="11" t="n">
        <v>382104</v>
      </c>
      <c r="K27" s="11" t="n">
        <v>405849</v>
      </c>
      <c r="M27" s="2" t="s">
        <v>115</v>
      </c>
      <c r="N27" s="12" t="n">
        <f aca="false">N24+N18</f>
        <v>-68367</v>
      </c>
      <c r="O27" s="12" t="n">
        <f aca="false">O24+O18</f>
        <v>-311780</v>
      </c>
      <c r="P27" s="12" t="n">
        <f aca="false">P24+P18</f>
        <v>221142</v>
      </c>
      <c r="Q27" s="12" t="n">
        <f aca="false">Q24+Q18</f>
        <v>75900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257436</v>
      </c>
      <c r="O28" s="12" t="n">
        <f aca="false">(D11-C11)+(C17-D17)</f>
        <v>104926</v>
      </c>
      <c r="P28" s="12" t="n">
        <f aca="false">(E11-D11)+(D17-E17)</f>
        <v>-81224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0.480670214053505</v>
      </c>
      <c r="C30" s="24" t="n">
        <f aca="false">C11/C$16</f>
        <v>0.552213346041308</v>
      </c>
      <c r="D30" s="24" t="n">
        <f aca="false">D11/D$16</f>
        <v>0.561875571296467</v>
      </c>
      <c r="E30" s="24" t="n">
        <f aca="false">E11/E$16</f>
        <v>0.541007350705414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0.0765287174323204</v>
      </c>
      <c r="O30" s="26" t="n">
        <f aca="false">O11/I$11</f>
        <v>0.11657612563507</v>
      </c>
      <c r="P30" s="26" t="n">
        <f aca="false">P11/J$11</f>
        <v>0.125929280304631</v>
      </c>
      <c r="Q30" s="26" t="n">
        <f aca="false">Q11/K$11</f>
        <v>0.143253479705035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0.243609976920108</v>
      </c>
      <c r="C31" s="24" t="n">
        <f aca="false">C12/C$16</f>
        <v>0.185613129472195</v>
      </c>
      <c r="D31" s="24" t="n">
        <f aca="false">D12/D$16</f>
        <v>0.183095021092998</v>
      </c>
      <c r="E31" s="24" t="n">
        <f aca="false">E12/E$16</f>
        <v>0.224078912024696</v>
      </c>
      <c r="F31" s="6"/>
      <c r="G31" s="25" t="s">
        <v>10</v>
      </c>
      <c r="H31" s="24" t="n">
        <f aca="false">H12/H$11</f>
        <v>0.811176539388294</v>
      </c>
      <c r="I31" s="24" t="n">
        <f aca="false">I12/I$11</f>
        <v>0.795419319579064</v>
      </c>
      <c r="J31" s="24" t="n">
        <f aca="false">J12/J$11</f>
        <v>0.797611816536953</v>
      </c>
      <c r="K31" s="24" t="n">
        <f aca="false">K12/K$11</f>
        <v>0.789248132297139</v>
      </c>
      <c r="L31" s="6"/>
      <c r="M31" s="25" t="s">
        <v>11</v>
      </c>
      <c r="N31" s="26" t="n">
        <f aca="false">N12/H$11</f>
        <v>0.010046453196622</v>
      </c>
      <c r="O31" s="26" t="n">
        <f aca="false">O12/I$11</f>
        <v>0.00881410821683204</v>
      </c>
      <c r="P31" s="26" t="n">
        <f aca="false">P12/J$11</f>
        <v>0.0071383862352399</v>
      </c>
      <c r="Q31" s="26" t="n">
        <f aca="false">Q12/K$11</f>
        <v>0.00826022000588101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0.188823460611706</v>
      </c>
      <c r="I32" s="24" t="n">
        <f aca="false">I13/I$11</f>
        <v>0.204580680420936</v>
      </c>
      <c r="J32" s="24" t="n">
        <f aca="false">J13/J$11</f>
        <v>0.202388183463047</v>
      </c>
      <c r="K32" s="24" t="n">
        <f aca="false">K13/K$11</f>
        <v>0.210751867702861</v>
      </c>
      <c r="L32" s="6"/>
      <c r="M32" s="25" t="s">
        <v>14</v>
      </c>
      <c r="N32" s="26" t="n">
        <f aca="false">N13/H$11</f>
        <v>0.0666243870661701</v>
      </c>
      <c r="O32" s="26" t="n">
        <f aca="false">O13/I$11</f>
        <v>-0.178452078266293</v>
      </c>
      <c r="P32" s="26" t="n">
        <f aca="false">P13/J$11</f>
        <v>-0.00495307559629113</v>
      </c>
      <c r="Q32" s="26" t="n">
        <f aca="false">Q13/K$11</f>
        <v>-0.120158004783042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0.124066312088553</v>
      </c>
      <c r="C33" s="24" t="n">
        <f aca="false">C14/C$16</f>
        <v>0.11349567528699</v>
      </c>
      <c r="D33" s="24" t="n">
        <f aca="false">D14/D$16</f>
        <v>0.0959055198897781</v>
      </c>
      <c r="E33" s="24" t="n">
        <f aca="false">E14/E$16</f>
        <v>0.0726943996378506</v>
      </c>
      <c r="F33" s="6"/>
      <c r="G33" s="25" t="s">
        <v>16</v>
      </c>
      <c r="H33" s="24" t="n">
        <f aca="false">H14/H$11</f>
        <v>0.00104378734510359</v>
      </c>
      <c r="I33" s="24" t="n">
        <f aca="false">I14/I$11</f>
        <v>0.00312975537529883</v>
      </c>
      <c r="J33" s="24" t="n">
        <f aca="false">J14/J$11</f>
        <v>0.00211647878791538</v>
      </c>
      <c r="K33" s="24" t="n">
        <f aca="false">K14/K$11</f>
        <v>0.00739652967908081</v>
      </c>
      <c r="L33" s="6"/>
      <c r="M33" s="25" t="s">
        <v>9</v>
      </c>
      <c r="N33" s="26" t="n">
        <f aca="false">N14/H$11</f>
        <v>-0.0922922362258514</v>
      </c>
      <c r="O33" s="26" t="n">
        <f aca="false">O14/I$11</f>
        <v>-0.0104653010885258</v>
      </c>
      <c r="P33" s="26" t="n">
        <f aca="false">P14/J$11</f>
        <v>0.0426544137921318</v>
      </c>
      <c r="Q33" s="26" t="n">
        <f aca="false">Q14/K$11</f>
        <v>-0.0612165243079379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0.151653496937835</v>
      </c>
      <c r="C34" s="24" t="n">
        <f aca="false">C15/C$16</f>
        <v>0.148677849199507</v>
      </c>
      <c r="D34" s="24" t="n">
        <f aca="false">D15/D$16</f>
        <v>0.159123887720757</v>
      </c>
      <c r="E34" s="24" t="n">
        <f aca="false">E15/E$16</f>
        <v>0.162219337632039</v>
      </c>
      <c r="F34" s="6"/>
      <c r="G34" s="25" t="s">
        <v>18</v>
      </c>
      <c r="H34" s="24" t="n">
        <f aca="false">H15/H$11</f>
        <v>0.18986724795681</v>
      </c>
      <c r="I34" s="24" t="n">
        <f aca="false">I15/I$11</f>
        <v>0.207710435796235</v>
      </c>
      <c r="J34" s="24" t="n">
        <f aca="false">J15/J$11</f>
        <v>0.204504662250963</v>
      </c>
      <c r="K34" s="24" t="n">
        <f aca="false">K15/K$11</f>
        <v>0.218148397381941</v>
      </c>
      <c r="L34" s="6"/>
      <c r="M34" s="25" t="s">
        <v>19</v>
      </c>
      <c r="N34" s="26" t="n">
        <f aca="false">N15/H$11</f>
        <v>-0.00185318851405222</v>
      </c>
      <c r="O34" s="26" t="n">
        <f aca="false">O15/I$11</f>
        <v>-0.000383853582889343</v>
      </c>
      <c r="P34" s="26" t="n">
        <f aca="false">P15/J$11</f>
        <v>-0.00513219941915578</v>
      </c>
      <c r="Q34" s="26" t="n">
        <f aca="false">Q15/K$11</f>
        <v>-0.00137575100401253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0.0922419107645696</v>
      </c>
      <c r="I35" s="24" t="n">
        <f aca="false">I16/I$11</f>
        <v>0.0830725549667956</v>
      </c>
      <c r="J35" s="24" t="n">
        <f aca="false">J16/J$11</f>
        <v>0.072709781167042</v>
      </c>
      <c r="K35" s="24" t="n">
        <f aca="false">K16/K$11</f>
        <v>0.0703219740840158</v>
      </c>
      <c r="L35" s="6"/>
      <c r="M35" s="25" t="s">
        <v>22</v>
      </c>
      <c r="N35" s="26" t="n">
        <f aca="false">N16/H$11</f>
        <v>-0.0610550360176531</v>
      </c>
      <c r="O35" s="26" t="n">
        <f aca="false">O16/I$11</f>
        <v>-0.0142254062934559</v>
      </c>
      <c r="P35" s="26" t="n">
        <f aca="false">P16/J$11</f>
        <v>-0.0308970480796517</v>
      </c>
      <c r="Q35" s="26" t="n">
        <f aca="false">Q16/K$11</f>
        <v>0.0936235918880798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0.504619892301865</v>
      </c>
      <c r="C36" s="24" t="n">
        <f aca="false">C17/C$16</f>
        <v>0.498287212357778</v>
      </c>
      <c r="D36" s="24" t="n">
        <f aca="false">D17/D$16</f>
        <v>0.467665619345331</v>
      </c>
      <c r="E36" s="24" t="n">
        <f aca="false">E17/E$16</f>
        <v>0.472289981306219</v>
      </c>
      <c r="F36" s="6"/>
      <c r="G36" s="25" t="s">
        <v>11</v>
      </c>
      <c r="H36" s="24" t="n">
        <f aca="false">H17/H$11</f>
        <v>0.00471987590114029</v>
      </c>
      <c r="I36" s="24" t="n">
        <f aca="false">I17/I$11</f>
        <v>0.00404104452992045</v>
      </c>
      <c r="J36" s="24" t="n">
        <f aca="false">J17/J$11</f>
        <v>0.00308414995682915</v>
      </c>
      <c r="K36" s="24" t="n">
        <f aca="false">K17/K$11</f>
        <v>0.00176781806330301</v>
      </c>
      <c r="L36" s="6"/>
      <c r="M36" s="25" t="s">
        <v>24</v>
      </c>
      <c r="N36" s="26" t="n">
        <f aca="false">N17/H$11</f>
        <v>-0.000210621374994117</v>
      </c>
      <c r="O36" s="26" t="n">
        <f aca="false">O17/I$11</f>
        <v>-0.000304178028386906</v>
      </c>
      <c r="P36" s="26" t="n">
        <f aca="false">P17/J$11</f>
        <v>-0.00779691786267039</v>
      </c>
      <c r="Q36" s="26" t="n">
        <f aca="false">Q17/K$11</f>
        <v>-0.0134375270590004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0.0378168818602164</v>
      </c>
      <c r="C37" s="24" t="n">
        <f aca="false">C18/C$16</f>
        <v>0.0143313337674416</v>
      </c>
      <c r="D37" s="24" t="n">
        <f aca="false">D18/D$16</f>
        <v>0.0157214791481786</v>
      </c>
      <c r="E37" s="24" t="n">
        <f aca="false">E18/E$16</f>
        <v>0.0142647453841633</v>
      </c>
      <c r="F37" s="6"/>
      <c r="G37" s="25" t="s">
        <v>26</v>
      </c>
      <c r="H37" s="24" t="n">
        <f aca="false">H18/H$11</f>
        <v>0.0167858712199404</v>
      </c>
      <c r="I37" s="24" t="n">
        <f aca="false">I18/I$11</f>
        <v>0.00455146605095169</v>
      </c>
      <c r="J37" s="24" t="n">
        <f aca="false">J18/J$11</f>
        <v>0.00330111117148993</v>
      </c>
      <c r="K37" s="24" t="n">
        <f aca="false">K18/K$11</f>
        <v>0.00337124926542368</v>
      </c>
      <c r="L37" s="6"/>
      <c r="M37" s="25" t="s">
        <v>27</v>
      </c>
      <c r="N37" s="26" t="n">
        <f aca="false">N18/H$11</f>
        <v>-0.0296458904834087</v>
      </c>
      <c r="O37" s="26" t="n">
        <f aca="false">O18/I$11</f>
        <v>-0.0509408977526099</v>
      </c>
      <c r="P37" s="26" t="n">
        <f aca="false">P18/J$11</f>
        <v>-0.0379275574957282</v>
      </c>
      <c r="Q37" s="26" t="n">
        <f aca="false">Q18/K$11</f>
        <v>-0.0155886214403542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0.11374765788565</v>
      </c>
      <c r="I38" s="24" t="n">
        <f aca="false">I19/I$11</f>
        <v>0.0916650655476678</v>
      </c>
      <c r="J38" s="24" t="n">
        <f aca="false">J19/J$11</f>
        <v>0.0790950422953611</v>
      </c>
      <c r="K38" s="24" t="n">
        <f aca="false">K19/K$11</f>
        <v>0.0754610414127424</v>
      </c>
      <c r="L38" s="6"/>
      <c r="M38" s="25" t="s">
        <v>30</v>
      </c>
      <c r="N38" s="26" t="n">
        <f aca="false">N19/H$11</f>
        <v>0.00129075488657899</v>
      </c>
      <c r="O38" s="26" t="n">
        <f aca="false">O19/I$11</f>
        <v>0.0964659326832859</v>
      </c>
      <c r="P38" s="26" t="n">
        <f aca="false">P19/J$11</f>
        <v>0.000861404451528892</v>
      </c>
      <c r="Q38" s="26" t="n">
        <f aca="false">Q19/K$11</f>
        <v>0.00769189858473461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0.455877243635869</v>
      </c>
      <c r="C39" s="24" t="n">
        <f aca="false">C20/C$16</f>
        <v>0.485722626621995</v>
      </c>
      <c r="D39" s="24" t="n">
        <f aca="false">D20/D$16</f>
        <v>0.514783087226144</v>
      </c>
      <c r="E39" s="24" t="n">
        <f aca="false">E20/E$16</f>
        <v>0.511569759435178</v>
      </c>
      <c r="F39" s="6"/>
      <c r="G39" s="25" t="s">
        <v>32</v>
      </c>
      <c r="H39" s="24" t="n">
        <f aca="false">H20/H$11</f>
        <v>0.0761195900711593</v>
      </c>
      <c r="I39" s="24" t="n">
        <f aca="false">I20/I$11</f>
        <v>0.116045370248567</v>
      </c>
      <c r="J39" s="24" t="n">
        <f aca="false">J20/J$11</f>
        <v>0.125409619955601</v>
      </c>
      <c r="K39" s="24" t="n">
        <f aca="false">K20/K$11</f>
        <v>0.142687355969199</v>
      </c>
      <c r="L39" s="6"/>
      <c r="M39" s="25" t="s">
        <v>33</v>
      </c>
      <c r="N39" s="26" t="n">
        <f aca="false">N20/H$11</f>
        <v>0.10271380049962</v>
      </c>
      <c r="O39" s="26" t="n">
        <f aca="false">O20/I$11</f>
        <v>0.0921609628790762</v>
      </c>
      <c r="P39" s="26" t="n">
        <f aca="false">P20/J$11</f>
        <v>0.0393750389946524</v>
      </c>
      <c r="Q39" s="26" t="n">
        <f aca="false">Q20/K$11</f>
        <v>0.041242641600161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0.00168598220204931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0.011900573663661</v>
      </c>
      <c r="I40" s="24" t="n">
        <f aca="false">I21/I$11</f>
        <v>0.0116243314204284</v>
      </c>
      <c r="J40" s="24" t="n">
        <f aca="false">J21/J$11</f>
        <v>0.0112691023481322</v>
      </c>
      <c r="K40" s="24" t="n">
        <f aca="false">K21/K$11</f>
        <v>0.0105611965253716</v>
      </c>
      <c r="L40" s="6"/>
      <c r="M40" s="25" t="s">
        <v>36</v>
      </c>
      <c r="N40" s="26" t="n">
        <f aca="false">N21/H$11</f>
        <v>-0.103977994726078</v>
      </c>
      <c r="O40" s="26" t="n">
        <f aca="false">O21/I$11</f>
        <v>-0.0798863627403909</v>
      </c>
      <c r="P40" s="26" t="n">
        <f aca="false">P21/J$11</f>
        <v>-0.0965517657784943</v>
      </c>
      <c r="Q40" s="26" t="n">
        <f aca="false">Q21/K$11</f>
        <v>-0.0978721571292252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0.0642190164074983</v>
      </c>
      <c r="I41" s="24" t="n">
        <f aca="false">I22/I$11</f>
        <v>0.104421038828139</v>
      </c>
      <c r="J41" s="24" t="n">
        <f aca="false">J22/J$11</f>
        <v>0.114140517607469</v>
      </c>
      <c r="K41" s="24" t="n">
        <f aca="false">K22/K$11</f>
        <v>0.132126159443827</v>
      </c>
      <c r="L41" s="6"/>
      <c r="M41" s="25" t="s">
        <v>38</v>
      </c>
      <c r="N41" s="26" t="n">
        <f aca="false">N22/H$11</f>
        <v>0.0462980264497577</v>
      </c>
      <c r="O41" s="26" t="n">
        <f aca="false">O22/I$11</f>
        <v>0.0618718028627593</v>
      </c>
      <c r="P41" s="26" t="n">
        <f aca="false">P22/J$11</f>
        <v>0.027315376673248</v>
      </c>
      <c r="Q41" s="26" t="n">
        <f aca="false">Q22/K$11</f>
        <v>0.0454037389659715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0.173079512830896</v>
      </c>
      <c r="I42" s="24" t="n">
        <f aca="false">I23/I$11</f>
        <v>0.157369179586625</v>
      </c>
      <c r="J42" s="24" t="n">
        <f aca="false">J23/J$11</f>
        <v>0.163364549181565</v>
      </c>
      <c r="K42" s="24" t="n">
        <f aca="false">K23/K$11</f>
        <v>0.174340617488037</v>
      </c>
      <c r="L42" s="6"/>
      <c r="M42" s="25" t="s">
        <v>40</v>
      </c>
      <c r="N42" s="26" t="n">
        <f aca="false">N23/H$11</f>
        <v>0.0144671721890318</v>
      </c>
      <c r="O42" s="26" t="n">
        <f aca="false">O23/I$11</f>
        <v>0.0412308545244718</v>
      </c>
      <c r="P42" s="26" t="n">
        <f aca="false">P23/J$11</f>
        <v>0.0600153362194408</v>
      </c>
      <c r="Q42" s="26" t="n">
        <f aca="false">Q23/K$11</f>
        <v>0.0298269850262909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0.0250611477653398</v>
      </c>
      <c r="I43" s="24" t="n">
        <f aca="false">I24/I$11</f>
        <v>0.0270411362398035</v>
      </c>
      <c r="J43" s="24" t="n">
        <f aca="false">J24/J$11</f>
        <v>0.0275150292937892</v>
      </c>
      <c r="K43" s="24" t="n">
        <f aca="false">K24/K$11</f>
        <v>0.0307939665626575</v>
      </c>
      <c r="L43" s="6"/>
      <c r="M43" s="2" t="s">
        <v>49</v>
      </c>
      <c r="N43" s="26" t="n">
        <f aca="false">N24/H11</f>
        <v>-0.00221152443743823</v>
      </c>
      <c r="O43" s="26" t="n">
        <f aca="false">O24/I11</f>
        <v>-0.0784405834076488</v>
      </c>
      <c r="P43" s="26" t="n">
        <f aca="false">P24/J11</f>
        <v>0.126942839374234</v>
      </c>
      <c r="Q43" s="26" t="n">
        <f aca="false">Q24/K11</f>
        <v>0.0489494844450032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0.103139237038048</v>
      </c>
      <c r="I44" s="24" t="n">
        <f aca="false">I25/I$11</f>
        <v>0.0787294072927201</v>
      </c>
      <c r="J44" s="24" t="n">
        <f aca="false">J25/J$11</f>
        <v>0.0954589091962976</v>
      </c>
      <c r="K44" s="24" t="n">
        <f aca="false">K25/K$11</f>
        <v>0.0972871332997234</v>
      </c>
      <c r="L44" s="6"/>
      <c r="M44" s="2" t="s">
        <v>50</v>
      </c>
      <c r="N44" s="26" t="n">
        <f aca="false">N24/B16</f>
        <v>-0.00142886991623679</v>
      </c>
      <c r="O44" s="26" t="n">
        <f aca="false">O24/C16</f>
        <v>-0.0573022958023667</v>
      </c>
      <c r="P44" s="26" t="n">
        <f aca="false">P24/D16</f>
        <v>0.105053925056563</v>
      </c>
      <c r="Q44" s="26" t="n">
        <f aca="false">Q24/E16</f>
        <v>0.0379622824683426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0.00083875768802967</v>
      </c>
      <c r="I45" s="24" t="n">
        <f aca="false">I26/I$11</f>
        <v>0.000746958323460343</v>
      </c>
      <c r="J45" s="24" t="n">
        <f aca="false">J26/J$11</f>
        <v>0.000724545800351405</v>
      </c>
      <c r="K45" s="24" t="n">
        <f aca="false">K26/K$11</f>
        <v>0</v>
      </c>
      <c r="L45" s="6"/>
      <c r="M45" s="2" t="s">
        <v>51</v>
      </c>
      <c r="N45" s="26" t="n">
        <f aca="false">N24/B20</f>
        <v>-0.00313433042816697</v>
      </c>
      <c r="O45" s="26" t="n">
        <f aca="false">O24/C20</f>
        <v>-0.117973288995988</v>
      </c>
      <c r="P45" s="26" t="n">
        <f aca="false">P24/D20</f>
        <v>0.204074157957744</v>
      </c>
      <c r="Q45" s="26" t="n">
        <f aca="false">Q24/E20</f>
        <v>0.0742074404676629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0.108259386746976</v>
      </c>
      <c r="I46" s="24" t="n">
        <f aca="false">I27/I$11</f>
        <v>0.15527271655878</v>
      </c>
      <c r="J46" s="24" t="n">
        <f aca="false">J27/J$11</f>
        <v>0.153806582498596</v>
      </c>
      <c r="K46" s="24" t="n">
        <f aca="false">K27/K$11</f>
        <v>0.178385677069483</v>
      </c>
      <c r="L46" s="6"/>
      <c r="M46" s="2" t="s">
        <v>52</v>
      </c>
      <c r="N46" s="26" t="n">
        <f aca="false">N24/H22</f>
        <v>-0.0344372206420154</v>
      </c>
      <c r="O46" s="26" t="n">
        <f aca="false">O24/I22</f>
        <v>-0.751195202498897</v>
      </c>
      <c r="P46" s="26" t="n">
        <f aca="false">P24/J22</f>
        <v>1.11216281505567</v>
      </c>
      <c r="Q46" s="26" t="n">
        <f aca="false">Q24/K22</f>
        <v>0.370475344557439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-0.0026260065390108</v>
      </c>
      <c r="O47" s="26" t="n">
        <f aca="false">O24/(C22-C20)</f>
        <v>-0.111422937832126</v>
      </c>
      <c r="P47" s="26" t="n">
        <f aca="false">P24/(D22-D20)</f>
        <v>0.21650919885706</v>
      </c>
      <c r="Q47" s="26" t="n">
        <f aca="false">Q24/(E22-E20)</f>
        <v>0.0777230386563349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-0.0214421252371916</v>
      </c>
      <c r="O48" s="26" t="n">
        <f aca="false">O24/I25</f>
        <v>-0.996331435800126</v>
      </c>
      <c r="P48" s="26" t="n">
        <f aca="false">P24/J25</f>
        <v>1.32981657179001</v>
      </c>
      <c r="Q48" s="26" t="n">
        <f aca="false">Q24/K25</f>
        <v>0.503144483599892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-0.0745980100910077</v>
      </c>
      <c r="O49" s="26" t="n">
        <f aca="false">O24/(O18*-1)</f>
        <v>-1.5398351200756</v>
      </c>
      <c r="P49" s="26" t="n">
        <f aca="false">P24/(P18*-1)</f>
        <v>3.34698166072338</v>
      </c>
      <c r="Q49" s="26" t="n">
        <f aca="false">Q24/(Q18*-1)</f>
        <v>3.14007782101167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-0.602044266539051</v>
      </c>
      <c r="I50" s="28" t="n">
        <f aca="false">LN(I15/J15)</f>
        <v>-0.0149102147615074</v>
      </c>
      <c r="J50" s="28" t="n">
        <f aca="false">LN(J22/K22)</f>
        <v>-0.0583631897379033</v>
      </c>
      <c r="M50" s="2" t="s">
        <v>117</v>
      </c>
      <c r="N50" s="32" t="n">
        <f aca="false">(H15-H16-N28-N25)/($B$6)</f>
        <v>0.00347873750784742</v>
      </c>
      <c r="O50" s="32" t="n">
        <f aca="false">(I15-I16-O28-O25)/($B$6)</f>
        <v>0.0230761818369962</v>
      </c>
      <c r="P50" s="32" t="n">
        <f aca="false">(J15-J16-P28-P25)/($B$6)</f>
        <v>0.134801213034315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1.43529853266336</v>
      </c>
      <c r="C51" s="30" t="n">
        <f aca="false">C23/C17</f>
        <v>1.48072528697311</v>
      </c>
      <c r="D51" s="30" t="n">
        <f aca="false">D23/D17</f>
        <v>1.5929556537261</v>
      </c>
      <c r="E51" s="30" t="n">
        <f aca="false">E23/E17</f>
        <v>1.61995022764214</v>
      </c>
      <c r="G51" s="29" t="s">
        <v>58</v>
      </c>
      <c r="H51" s="63" t="n">
        <f aca="false">H13/H11</f>
        <v>0.188823460611706</v>
      </c>
      <c r="I51" s="63" t="n">
        <f aca="false">I13/I11</f>
        <v>0.204580680420936</v>
      </c>
      <c r="J51" s="63" t="n">
        <f aca="false">J13/J11</f>
        <v>0.202388183463047</v>
      </c>
      <c r="K51" s="63" t="n">
        <f aca="false">K13/K11</f>
        <v>0.210751867702861</v>
      </c>
      <c r="M51" s="2" t="s">
        <v>59</v>
      </c>
      <c r="N51" s="32" t="n">
        <f aca="false">(N11-N24-N25)/B16</f>
        <v>0.0691945159816059</v>
      </c>
      <c r="O51" s="32" t="n">
        <f aca="false">(O11-O24-O25)/C16</f>
        <v>0.109206430623309</v>
      </c>
      <c r="P51" s="32" t="n">
        <f aca="false">(P11-P24-P25)/D16</f>
        <v>0.0298359996055889</v>
      </c>
      <c r="Q51" s="32" t="n">
        <f aca="false">(Q11-Q24-Q25)/E16</f>
        <v>0.0792607434697893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0.0491810040385295</v>
      </c>
      <c r="C52" s="31" t="n">
        <f aca="false">I20/C16</f>
        <v>0.0847732875458209</v>
      </c>
      <c r="D52" s="31" t="n">
        <f aca="false">J20/D16</f>
        <v>0.103785080601104</v>
      </c>
      <c r="E52" s="31" t="n">
        <f aca="false">K20/E16</f>
        <v>0.110659750013294</v>
      </c>
      <c r="F52" s="31"/>
      <c r="G52" s="29" t="s">
        <v>61</v>
      </c>
      <c r="H52" s="63" t="n">
        <f aca="false">H16/H11</f>
        <v>0.0922419107645696</v>
      </c>
      <c r="I52" s="63" t="n">
        <f aca="false">I16/I11</f>
        <v>0.0830725549667956</v>
      </c>
      <c r="J52" s="63" t="n">
        <f aca="false">J16/J11</f>
        <v>0.072709781167042</v>
      </c>
      <c r="K52" s="63" t="n">
        <f aca="false">K16/K11</f>
        <v>0.0703219740840158</v>
      </c>
      <c r="M52" s="6"/>
      <c r="N52" s="4" t="n">
        <f aca="false">N24+N18</f>
        <v>-68367</v>
      </c>
      <c r="O52" s="4" t="n">
        <f aca="false">O24+O18</f>
        <v>-311780</v>
      </c>
      <c r="P52" s="4" t="n">
        <f aca="false">P24+P18</f>
        <v>221142</v>
      </c>
      <c r="Q52" s="4" t="n">
        <f aca="false">Q24+Q18</f>
        <v>75900</v>
      </c>
      <c r="R52" s="4" t="n">
        <f aca="false">AVERAGE(N52:Q52)</f>
        <v>-20776.25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0.107882121174297</v>
      </c>
      <c r="C53" s="31" t="n">
        <f aca="false">I20/C20</f>
        <v>0.174530241951842</v>
      </c>
      <c r="D53" s="31" t="n">
        <f aca="false">J20/D20</f>
        <v>0.201609344161517</v>
      </c>
      <c r="E53" s="31" t="n">
        <f aca="false">K20/E20</f>
        <v>0.216314095922076</v>
      </c>
      <c r="G53" s="29" t="s">
        <v>11</v>
      </c>
      <c r="H53" s="71" t="n">
        <f aca="false">H17/H11</f>
        <v>0.00471987590114029</v>
      </c>
      <c r="I53" s="71" t="n">
        <f aca="false">I17/I11</f>
        <v>0.00404104452992045</v>
      </c>
      <c r="J53" s="71" t="n">
        <f aca="false">J17/J11</f>
        <v>0.00308414995682915</v>
      </c>
      <c r="K53" s="71" t="n">
        <f aca="false">K17/K11</f>
        <v>0.00176781806330301</v>
      </c>
      <c r="M53" s="6"/>
      <c r="N53" s="28" t="n">
        <f aca="false">LN(N52/O52)</f>
        <v>-1.51740755881579</v>
      </c>
      <c r="O53" s="28" t="e">
        <f aca="false">LN(O52/P52)</f>
        <v>#VALUE!</v>
      </c>
      <c r="P53" s="28" t="n">
        <f aca="false">LN(P52/Q52)</f>
        <v>1.06938834471627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2.65219760934905</v>
      </c>
      <c r="C54" s="30" t="n">
        <f aca="false">I11/C12</f>
        <v>3.93570477800371</v>
      </c>
      <c r="D54" s="30" t="n">
        <f aca="false">J11/D12</f>
        <v>4.51988661690085</v>
      </c>
      <c r="E54" s="30" t="n">
        <f aca="false">K11/E12</f>
        <v>3.46101281343319</v>
      </c>
      <c r="G54" s="29" t="s">
        <v>64</v>
      </c>
      <c r="H54" s="63" t="n">
        <f aca="false">H25/H22</f>
        <v>1.60605444941081</v>
      </c>
      <c r="I54" s="63" t="n">
        <f aca="false">I25/I22</f>
        <v>0.753961157409063</v>
      </c>
      <c r="J54" s="63" t="n">
        <f aca="false">J25/J22</f>
        <v>0.836327985865475</v>
      </c>
      <c r="K54" s="63" t="n">
        <f aca="false">K25/K22</f>
        <v>0.736319996806419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0.544122756364131</v>
      </c>
      <c r="C55" s="31" t="n">
        <f aca="false">(C22-C20)/C16</f>
        <v>0.514277373378005</v>
      </c>
      <c r="D55" s="31" t="n">
        <f aca="false">(D22-D20)/D16</f>
        <v>0.485216912773856</v>
      </c>
      <c r="E55" s="31" t="n">
        <f aca="false">(E22-E20)/E16</f>
        <v>0.488430240564822</v>
      </c>
      <c r="G55" s="29" t="s">
        <v>66</v>
      </c>
      <c r="H55" s="63" t="n">
        <f aca="false">H22/H11</f>
        <v>0.0642190164074983</v>
      </c>
      <c r="I55" s="63" t="n">
        <f aca="false">I22/I11</f>
        <v>0.104421038828139</v>
      </c>
      <c r="J55" s="63" t="n">
        <f aca="false">J22/J11</f>
        <v>0.114140517607469</v>
      </c>
      <c r="K55" s="63" t="n">
        <f aca="false">K22/K11</f>
        <v>0.132126159443827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1.19357297158432</v>
      </c>
      <c r="C56" s="31" t="n">
        <f aca="false">(C22-C20)/C20</f>
        <v>1.05878817496026</v>
      </c>
      <c r="D56" s="31" t="n">
        <f aca="false">(D22-D20)/D20</f>
        <v>0.942565761801534</v>
      </c>
      <c r="E56" s="31" t="n">
        <f aca="false">(E22-E20)/E20</f>
        <v>0.954767617820287</v>
      </c>
      <c r="G56" s="33" t="s">
        <v>68</v>
      </c>
      <c r="H56" s="34" t="n">
        <f aca="false">H13/B16</f>
        <v>0.12199917748154</v>
      </c>
      <c r="I56" s="34" t="n">
        <f aca="false">I13/C16</f>
        <v>0.149449967805655</v>
      </c>
      <c r="J56" s="34" t="n">
        <f aca="false">J13/D16</f>
        <v>0.167490133060444</v>
      </c>
      <c r="K56" s="34" t="n">
        <f aca="false">K13/E16</f>
        <v>0.163446500472458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0.646101798401087</v>
      </c>
      <c r="C57" s="30" t="n">
        <f aca="false">I11/C16</f>
        <v>0.730518480523937</v>
      </c>
      <c r="D57" s="30" t="n">
        <f aca="false">J11/D16</f>
        <v>0.827568735459422</v>
      </c>
      <c r="E57" s="30" t="n">
        <f aca="false">K11/E16</f>
        <v>0.775539985737641</v>
      </c>
      <c r="G57" s="33" t="s">
        <v>70</v>
      </c>
      <c r="H57" s="35" t="n">
        <f aca="false">H25/$B$5</f>
        <v>0.114192497099968</v>
      </c>
      <c r="I57" s="35" t="n">
        <f aca="false">I25/$B$5</f>
        <v>0.0978792832285437</v>
      </c>
      <c r="J57" s="35" t="n">
        <f aca="false">J25/$B$5</f>
        <v>0.12234910403568</v>
      </c>
      <c r="K57" s="35" t="n">
        <f aca="false">K25/$B$5</f>
        <v>0.114192497099968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2.19357297158432</v>
      </c>
      <c r="C58" s="30" t="n">
        <f aca="false">C16/C20</f>
        <v>2.05878817496026</v>
      </c>
      <c r="D58" s="30" t="n">
        <f aca="false">D16/D20</f>
        <v>1.94256576180153</v>
      </c>
      <c r="E58" s="30" t="n">
        <f aca="false">E16/E20</f>
        <v>1.95476761782029</v>
      </c>
      <c r="G58" s="36" t="s">
        <v>72</v>
      </c>
      <c r="H58" s="37" t="n">
        <f aca="false">H22/$B$7/1000</f>
        <v>2.17925363693865</v>
      </c>
      <c r="I58" s="37" t="n">
        <f aca="false">I22/$B$7/1000</f>
        <v>3.97898481973435</v>
      </c>
      <c r="J58" s="37" t="n">
        <f aca="false">J22/$B$7/1000</f>
        <v>4.48388678051866</v>
      </c>
      <c r="K58" s="37" t="n">
        <f aca="false">K22/$B$7/1000</f>
        <v>4.75336812144213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23.9436907020873</v>
      </c>
      <c r="I59" s="37" t="n">
        <f aca="false">C20/$B$7/1000</f>
        <v>25.3361954459203</v>
      </c>
      <c r="J59" s="37" t="n">
        <f aca="false">D20/$B$7/1000</f>
        <v>24.4362745098039</v>
      </c>
      <c r="K59" s="37" t="n">
        <f aca="false">E20/$B$7/1000</f>
        <v>23.7308507273877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34.2642078340621</v>
      </c>
      <c r="I60" s="38" t="n">
        <f aca="false">SQRT(22.5*I58*I59)</f>
        <v>47.6264378686422</v>
      </c>
      <c r="J60" s="38" t="n">
        <f aca="false">SQRT(22.5*J58*J59)</f>
        <v>49.651923279887</v>
      </c>
      <c r="K60" s="38" t="n">
        <f aca="false">SQRT(22.5*K58*K59)</f>
        <v>50.3788949878915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0.263758380771664</v>
      </c>
      <c r="I61" s="39" t="n">
        <f aca="false">I58-(C20*0.08/1000/$B$7)</f>
        <v>1.95208918406072</v>
      </c>
      <c r="J61" s="39" t="n">
        <f aca="false">J58-(D20*0.08/1000/$B$7)</f>
        <v>2.52898481973435</v>
      </c>
      <c r="K61" s="39" t="n">
        <f aca="false">K58-(E20*0.08/1000/$B$7)</f>
        <v>2.85490006325111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3.5</v>
      </c>
      <c r="I62" s="41" t="n">
        <f aca="false">I25/$B$7/1000</f>
        <v>3</v>
      </c>
      <c r="J62" s="41" t="n">
        <f aca="false">J25/$B$7/1000</f>
        <v>3.75</v>
      </c>
      <c r="K62" s="41" t="n">
        <f aca="false">K25/$B$7/1000</f>
        <v>3.5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10.25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1.08344948110888</v>
      </c>
      <c r="I65" s="6" t="n">
        <f aca="false">J51/I51</f>
        <v>0.98928297162089</v>
      </c>
      <c r="J65" s="6" t="n">
        <f aca="false">K51/J51</f>
        <v>1.04132496323008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0.890553176585512</v>
      </c>
      <c r="I66" s="6" t="n">
        <f aca="false">I11/J11</f>
        <v>0.96999494830567</v>
      </c>
      <c r="J66" s="6" t="n">
        <f aca="false">J11/K11</f>
        <v>1.09194851614486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-0.306103559100949</v>
      </c>
      <c r="I67" s="6" t="n">
        <f aca="false">(O13/I11)/(P13/J11)</f>
        <v>36.0285391969221</v>
      </c>
      <c r="J67" s="6" t="n">
        <f aca="false">(P13/J11)/(Q13/K11)</f>
        <v>0.0412213535438976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1.11037767890297</v>
      </c>
      <c r="I68" s="6" t="n">
        <f aca="false">I52/J52</f>
        <v>1.14252241766409</v>
      </c>
      <c r="J68" s="6" t="n">
        <f aca="false">J52/K52</f>
        <v>1.0339553477292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1.1679841353377</v>
      </c>
      <c r="I69" s="6" t="n">
        <f aca="false">I53/J53</f>
        <v>1.31026201270547</v>
      </c>
      <c r="J69" s="6" t="n">
        <f aca="false">J53/K53</f>
        <v>1.74460823817282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1.06546802544495</v>
      </c>
      <c r="I70" s="6" t="n">
        <f aca="false">C58/D58</f>
        <v>1.05982933265072</v>
      </c>
      <c r="J70" s="6" t="n">
        <f aca="false">D58/E58</f>
        <v>0.993757899451824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0.870442882817503</v>
      </c>
      <c r="I71" s="6" t="n">
        <f aca="false">((1-C11)/C16)/((1-D11)/D16)</f>
        <v>0.982803664177736</v>
      </c>
      <c r="J71" s="6" t="n">
        <f aca="false">((1-D11)/D16)/((1-E11)/E16)</f>
        <v>1.03857293523577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0.0607808626568791</v>
      </c>
      <c r="I72" s="6" t="n">
        <f aca="false">((I13-I16-I17)-O24)/C16</f>
        <v>0.14311416927071</v>
      </c>
      <c r="J72" s="6" t="n">
        <f aca="false">((J13-J16-J17)-P24)/D16</f>
        <v>-0.00028847973180046</v>
      </c>
      <c r="K72" s="6" t="n">
        <f aca="false">((K13-K16-K17)-Q24)/E16</f>
        <v>0.069575701630354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-3.52310870780345</v>
      </c>
      <c r="I73" s="6" t="n">
        <f aca="false">-4.84 + 0.92 *I67  + 0.528 *I65 + 0.404 *I71 + 0.892 *I66 + 0.115 *I69 - 0.172 *I68- 0.327 *I70 + 4.697 *I72</f>
        <v>30.3706949813112</v>
      </c>
      <c r="J73" s="6" t="n">
        <f aca="false">-4.84 + 0.92 *J67  + 0.528 *J65 + 0.404 *J71 + 0.892 *J66 + 0.115 *J69 - 0.172 *J68- 0.327 *J70 + 4.697 *J72</f>
        <v>-3.16217942675823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CARE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0.00078119709458875</v>
      </c>
      <c r="I75" s="6" t="n">
        <f aca="false">I59*$B$7/$B$5</f>
        <v>0.000826629549994991</v>
      </c>
      <c r="J75" s="6" t="n">
        <f aca="false">J59*$B$7/$B$5</f>
        <v>0.000797268344598514</v>
      </c>
      <c r="K75" s="6" t="n">
        <f aca="false">K59*$B$7/$B$5</f>
        <v>0.000774252886533425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n">
        <f aca="false">(H15-H16)/$B$6</f>
        <v>0.0564014749308612</v>
      </c>
      <c r="I78" s="75" t="n">
        <f aca="false">(I15-I16)/$B$6</f>
        <v>0.0808570911425835</v>
      </c>
      <c r="J78" s="75" t="n">
        <f aca="false">(J15-J16)/$B$6</f>
        <v>0.088144887387355</v>
      </c>
      <c r="K78" s="75" t="n">
        <f aca="false">(K15-K16)/$B$6</f>
        <v>0.0905416680739643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22.7392242661688</v>
      </c>
      <c r="I79" s="75" t="n">
        <f aca="false">$B$6/(I15-I16)</f>
        <v>12.3674990760748</v>
      </c>
      <c r="J79" s="75" t="n">
        <f aca="false">$B$6/(J15-J16)</f>
        <v>11.3449574857981</v>
      </c>
      <c r="K79" s="75" t="n">
        <f aca="false">$B$6/(K15-K16)</f>
        <v>11.0446385766064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/>
      <c r="B5" s="48"/>
      <c r="C5" s="48" t="n">
        <v>4287</v>
      </c>
    </row>
    <row r="6" customFormat="false" ht="15" hidden="false" customHeight="false" outlineLevel="0" collapsed="false">
      <c r="A6" s="2"/>
      <c r="B6" s="4"/>
      <c r="C6" s="4" t="n">
        <f aca="false">C5*1000+(C22-C20)-Q23</f>
        <v>4450786</v>
      </c>
    </row>
    <row r="7" customFormat="false" ht="15" hidden="false" customHeight="false" outlineLevel="0" collapsed="false">
      <c r="A7" s="2"/>
      <c r="B7" s="2"/>
      <c r="C7" s="2" t="n">
        <v>100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650893</v>
      </c>
      <c r="C11" s="11" t="n">
        <v>794860</v>
      </c>
      <c r="D11" s="11" t="n">
        <v>864537</v>
      </c>
      <c r="E11" s="11" t="n">
        <v>599757</v>
      </c>
      <c r="F11" s="12" t="n">
        <v>554660</v>
      </c>
      <c r="H11" s="10" t="s">
        <v>7</v>
      </c>
      <c r="I11" s="11" t="n">
        <v>1256899</v>
      </c>
      <c r="J11" s="11" t="n">
        <v>1642559</v>
      </c>
      <c r="K11" s="11" t="n">
        <v>1719589</v>
      </c>
      <c r="L11" s="11" t="n">
        <v>1338359</v>
      </c>
      <c r="M11" s="12" t="n">
        <v>1370639</v>
      </c>
      <c r="O11" s="10" t="s">
        <v>8</v>
      </c>
      <c r="P11" s="11" t="n">
        <v>529328</v>
      </c>
      <c r="Q11" s="11" t="n">
        <v>646626</v>
      </c>
      <c r="R11" s="11" t="n">
        <v>685187</v>
      </c>
      <c r="S11" s="11" t="n">
        <v>197129</v>
      </c>
      <c r="T11" s="12" t="n">
        <v>387421</v>
      </c>
    </row>
    <row r="12" customFormat="false" ht="15" hidden="false" customHeight="false" outlineLevel="0" collapsed="false">
      <c r="A12" s="10" t="s">
        <v>9</v>
      </c>
      <c r="B12" s="11" t="n">
        <v>332380</v>
      </c>
      <c r="C12" s="11" t="n">
        <v>355905</v>
      </c>
      <c r="D12" s="11" t="n">
        <v>382437</v>
      </c>
      <c r="E12" s="11" t="n">
        <v>405668</v>
      </c>
      <c r="F12" s="12" t="n">
        <v>304680</v>
      </c>
      <c r="H12" s="10" t="s">
        <v>10</v>
      </c>
      <c r="I12" s="11" t="n">
        <v>705334</v>
      </c>
      <c r="J12" s="11" t="n">
        <v>918982</v>
      </c>
      <c r="K12" s="11" t="n">
        <v>988989</v>
      </c>
      <c r="L12" s="11" t="n">
        <v>796090</v>
      </c>
      <c r="M12" s="12" t="n">
        <v>833302</v>
      </c>
      <c r="O12" s="10" t="s">
        <v>11</v>
      </c>
      <c r="P12" s="11" t="n">
        <v>166914</v>
      </c>
      <c r="Q12" s="11" t="n">
        <v>173776</v>
      </c>
      <c r="R12" s="11" t="n">
        <v>175432</v>
      </c>
      <c r="S12" s="11" t="n">
        <v>180810</v>
      </c>
      <c r="T12" s="12" t="n">
        <v>182668</v>
      </c>
    </row>
    <row r="13" customFormat="false" ht="15" hidden="false" customHeight="false" outlineLevel="0" collapsed="false">
      <c r="A13" s="10" t="s">
        <v>12</v>
      </c>
      <c r="B13" s="11" t="n">
        <v>297670</v>
      </c>
      <c r="C13" s="11" t="n">
        <v>265546</v>
      </c>
      <c r="D13" s="11" t="n">
        <v>360135</v>
      </c>
      <c r="E13" s="11" t="n">
        <v>364197</v>
      </c>
      <c r="F13" s="12" t="n">
        <v>347365</v>
      </c>
      <c r="H13" s="10" t="s">
        <v>13</v>
      </c>
      <c r="I13" s="11" t="n">
        <v>551565</v>
      </c>
      <c r="J13" s="11" t="n">
        <v>723577</v>
      </c>
      <c r="K13" s="11" t="n">
        <v>730600</v>
      </c>
      <c r="L13" s="11" t="n">
        <v>542269</v>
      </c>
      <c r="M13" s="12" t="n">
        <v>537337</v>
      </c>
      <c r="O13" s="10" t="s">
        <v>14</v>
      </c>
      <c r="P13" s="11" t="n">
        <v>45825</v>
      </c>
      <c r="Q13" s="11" t="n">
        <v>43122</v>
      </c>
      <c r="R13" s="11" t="n">
        <v>66850</v>
      </c>
      <c r="S13" s="11" t="n">
        <v>330188</v>
      </c>
      <c r="T13" s="12" t="n">
        <v>175485</v>
      </c>
    </row>
    <row r="14" customFormat="false" ht="15" hidden="false" customHeight="false" outlineLevel="0" collapsed="false">
      <c r="A14" s="10" t="s">
        <v>15</v>
      </c>
      <c r="B14" s="11" t="n">
        <v>2501969</v>
      </c>
      <c r="C14" s="11" t="n">
        <v>2449710</v>
      </c>
      <c r="D14" s="11" t="n">
        <v>2452778</v>
      </c>
      <c r="E14" s="11" t="n">
        <v>2582754</v>
      </c>
      <c r="F14" s="12" t="n">
        <v>3016181</v>
      </c>
      <c r="H14" s="10" t="s">
        <v>16</v>
      </c>
      <c r="I14" s="11" t="n">
        <v>51278</v>
      </c>
      <c r="J14" s="11" t="n">
        <v>25602</v>
      </c>
      <c r="K14" s="11" t="n">
        <v>42344</v>
      </c>
      <c r="L14" s="11" t="n">
        <v>63767</v>
      </c>
      <c r="M14" s="12" t="n">
        <v>62009</v>
      </c>
      <c r="O14" s="10" t="s">
        <v>9</v>
      </c>
      <c r="P14" s="11" t="n">
        <v>23525</v>
      </c>
      <c r="Q14" s="11" t="n">
        <v>26532</v>
      </c>
      <c r="R14" s="11" t="n">
        <v>23232</v>
      </c>
      <c r="S14" s="13" t="n">
        <v>-136341</v>
      </c>
      <c r="T14" s="12" t="n">
        <v>6126</v>
      </c>
    </row>
    <row r="15" customFormat="false" ht="15" hidden="false" customHeight="false" outlineLevel="0" collapsed="false">
      <c r="A15" s="10" t="s">
        <v>17</v>
      </c>
      <c r="B15" s="11" t="n">
        <v>33523</v>
      </c>
      <c r="C15" s="11" t="n">
        <v>28330</v>
      </c>
      <c r="D15" s="11" t="n">
        <v>35429</v>
      </c>
      <c r="E15" s="11" t="n">
        <v>49859</v>
      </c>
      <c r="F15" s="12" t="n">
        <v>28979</v>
      </c>
      <c r="H15" s="10" t="s">
        <v>18</v>
      </c>
      <c r="I15" s="11" t="n">
        <v>602843</v>
      </c>
      <c r="J15" s="11" t="n">
        <v>749179</v>
      </c>
      <c r="K15" s="11" t="n">
        <v>772944</v>
      </c>
      <c r="L15" s="11" t="n">
        <v>606036</v>
      </c>
      <c r="M15" s="12" t="n">
        <v>599346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14" t="n">
        <v>-31984</v>
      </c>
    </row>
    <row r="16" customFormat="false" ht="15" hidden="false" customHeight="false" outlineLevel="0" collapsed="false">
      <c r="A16" s="10" t="s">
        <v>20</v>
      </c>
      <c r="B16" s="11" t="n">
        <v>3816435</v>
      </c>
      <c r="C16" s="11" t="n">
        <v>3894351</v>
      </c>
      <c r="D16" s="11" t="n">
        <v>4095316</v>
      </c>
      <c r="E16" s="11" t="n">
        <v>4002235</v>
      </c>
      <c r="F16" s="12" t="n">
        <v>4251865</v>
      </c>
      <c r="H16" s="10" t="s">
        <v>21</v>
      </c>
      <c r="I16" s="11" t="n">
        <v>64968</v>
      </c>
      <c r="J16" s="11" t="n">
        <v>65178</v>
      </c>
      <c r="K16" s="11" t="n">
        <v>50385</v>
      </c>
      <c r="L16" s="11" t="n">
        <v>41941</v>
      </c>
      <c r="M16" s="12" t="n">
        <v>43614</v>
      </c>
      <c r="O16" s="10" t="s">
        <v>22</v>
      </c>
      <c r="P16" s="13" t="n">
        <v>-188389</v>
      </c>
      <c r="Q16" s="13" t="n">
        <v>-46428</v>
      </c>
      <c r="R16" s="13" t="n">
        <v>-54361</v>
      </c>
      <c r="S16" s="13" t="n">
        <v>-63739</v>
      </c>
      <c r="T16" s="14" t="n">
        <v>-76642</v>
      </c>
    </row>
    <row r="17" customFormat="false" ht="15" hidden="false" customHeight="false" outlineLevel="0" collapsed="false">
      <c r="A17" s="10" t="s">
        <v>23</v>
      </c>
      <c r="B17" s="11" t="n">
        <v>277839</v>
      </c>
      <c r="C17" s="11" t="n">
        <v>503178</v>
      </c>
      <c r="D17" s="11" t="n">
        <v>631350</v>
      </c>
      <c r="E17" s="11" t="n">
        <v>559990</v>
      </c>
      <c r="F17" s="12" t="n">
        <v>443589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8" t="s">
        <v>84</v>
      </c>
      <c r="Q17" s="18" t="s">
        <v>84</v>
      </c>
      <c r="R17" s="18" t="s">
        <v>84</v>
      </c>
      <c r="S17" s="18" t="s">
        <v>84</v>
      </c>
      <c r="T17" s="45" t="n">
        <v>0</v>
      </c>
    </row>
    <row r="18" customFormat="false" ht="15" hidden="false" customHeight="false" outlineLevel="0" collapsed="false">
      <c r="A18" s="10" t="s">
        <v>25</v>
      </c>
      <c r="B18" s="11" t="n">
        <v>157188</v>
      </c>
      <c r="C18" s="11" t="n">
        <v>96748</v>
      </c>
      <c r="D18" s="11" t="n">
        <v>187392</v>
      </c>
      <c r="E18" s="11" t="n">
        <v>506357</v>
      </c>
      <c r="F18" s="12" t="n">
        <v>814129</v>
      </c>
      <c r="H18" s="10" t="s">
        <v>26</v>
      </c>
      <c r="I18" s="11" t="n">
        <v>28147</v>
      </c>
      <c r="J18" s="11" t="n">
        <v>65743</v>
      </c>
      <c r="K18" s="11" t="n">
        <v>56080</v>
      </c>
      <c r="L18" s="11" t="n">
        <v>354864</v>
      </c>
      <c r="M18" s="12" t="n">
        <v>160159</v>
      </c>
      <c r="O18" s="10" t="s">
        <v>27</v>
      </c>
      <c r="P18" s="13" t="n">
        <v>-237713</v>
      </c>
      <c r="Q18" s="13" t="n">
        <v>-169872</v>
      </c>
      <c r="R18" s="13" t="n">
        <v>-47494</v>
      </c>
      <c r="S18" s="13" t="n">
        <v>-41361</v>
      </c>
      <c r="T18" s="14" t="n">
        <v>-44268</v>
      </c>
    </row>
    <row r="19" customFormat="false" ht="15" hidden="false" customHeight="false" outlineLevel="0" collapsed="false">
      <c r="A19" s="10" t="s">
        <v>28</v>
      </c>
      <c r="B19" s="11" t="n">
        <v>56894</v>
      </c>
      <c r="C19" s="11" t="n">
        <v>54398</v>
      </c>
      <c r="D19" s="11" t="n">
        <v>47709</v>
      </c>
      <c r="E19" s="11" t="n">
        <v>43215</v>
      </c>
      <c r="F19" s="12" t="n">
        <v>42944</v>
      </c>
      <c r="H19" s="10" t="s">
        <v>29</v>
      </c>
      <c r="I19" s="11" t="n">
        <v>93115</v>
      </c>
      <c r="J19" s="11" t="n">
        <v>130921</v>
      </c>
      <c r="K19" s="11" t="n">
        <v>106465</v>
      </c>
      <c r="L19" s="11" t="n">
        <v>396805</v>
      </c>
      <c r="M19" s="12" t="n">
        <v>203773</v>
      </c>
      <c r="O19" s="10" t="s">
        <v>30</v>
      </c>
      <c r="P19" s="11" t="n">
        <v>36127</v>
      </c>
      <c r="Q19" s="11" t="n">
        <v>15542</v>
      </c>
      <c r="R19" s="11" t="n">
        <v>45374</v>
      </c>
      <c r="S19" s="11" t="n">
        <v>42765</v>
      </c>
      <c r="T19" s="12" t="n">
        <v>14912</v>
      </c>
    </row>
    <row r="20" customFormat="false" ht="15" hidden="false" customHeight="false" outlineLevel="0" collapsed="false">
      <c r="A20" s="10" t="s">
        <v>31</v>
      </c>
      <c r="B20" s="11" t="n">
        <v>3324514</v>
      </c>
      <c r="C20" s="11" t="n">
        <v>3240027</v>
      </c>
      <c r="D20" s="11" t="n">
        <v>3228865</v>
      </c>
      <c r="E20" s="11" t="n">
        <v>2892673</v>
      </c>
      <c r="F20" s="12" t="n">
        <v>2951203</v>
      </c>
      <c r="H20" s="10" t="s">
        <v>32</v>
      </c>
      <c r="I20" s="11" t="n">
        <v>509728</v>
      </c>
      <c r="J20" s="11" t="n">
        <v>618258</v>
      </c>
      <c r="K20" s="11" t="n">
        <v>666479</v>
      </c>
      <c r="L20" s="11" t="n">
        <v>209231</v>
      </c>
      <c r="M20" s="12" t="n">
        <v>395573</v>
      </c>
      <c r="O20" s="10" t="s">
        <v>33</v>
      </c>
      <c r="P20" s="13" t="n">
        <v>-25303</v>
      </c>
      <c r="Q20" s="13" t="n">
        <v>-231903</v>
      </c>
      <c r="R20" s="13" t="n">
        <v>-308453</v>
      </c>
      <c r="S20" s="13" t="n">
        <v>-204202</v>
      </c>
      <c r="T20" s="14" t="n">
        <v>-371844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 t="n">
        <v>18303</v>
      </c>
      <c r="J21" s="11" t="n">
        <v>18120</v>
      </c>
      <c r="K21" s="11" t="n">
        <v>21051</v>
      </c>
      <c r="L21" s="11" t="n">
        <v>17140</v>
      </c>
      <c r="M21" s="12" t="n">
        <v>8152</v>
      </c>
      <c r="O21" s="10" t="s">
        <v>36</v>
      </c>
      <c r="P21" s="13" t="n">
        <v>-450951</v>
      </c>
      <c r="Q21" s="13" t="n">
        <v>-530355</v>
      </c>
      <c r="R21" s="13" t="n">
        <v>-314387</v>
      </c>
      <c r="S21" s="13" t="n">
        <v>-275986</v>
      </c>
      <c r="T21" s="14" t="n">
        <v>-260615</v>
      </c>
    </row>
    <row r="22" customFormat="false" ht="15" hidden="false" customHeight="false" outlineLevel="0" collapsed="false">
      <c r="A22" s="10" t="s">
        <v>37</v>
      </c>
      <c r="B22" s="11" t="n">
        <v>3816435</v>
      </c>
      <c r="C22" s="11" t="n">
        <v>3894351</v>
      </c>
      <c r="D22" s="11" t="n">
        <v>4095316</v>
      </c>
      <c r="E22" s="11" t="n">
        <v>4002235</v>
      </c>
      <c r="F22" s="12" t="n">
        <v>4251865</v>
      </c>
      <c r="H22" s="10" t="s">
        <v>8</v>
      </c>
      <c r="I22" s="11" t="n">
        <v>491425</v>
      </c>
      <c r="J22" s="11" t="n">
        <v>600138</v>
      </c>
      <c r="K22" s="11" t="n">
        <v>645428</v>
      </c>
      <c r="L22" s="11" t="n">
        <v>192091</v>
      </c>
      <c r="M22" s="12" t="n">
        <v>387421</v>
      </c>
      <c r="O22" s="10" t="s">
        <v>38</v>
      </c>
      <c r="P22" s="11" t="n">
        <v>490538</v>
      </c>
      <c r="Q22" s="11" t="n">
        <v>563498</v>
      </c>
      <c r="R22" s="11" t="n">
        <v>292118</v>
      </c>
      <c r="S22" s="11" t="n">
        <v>285017</v>
      </c>
      <c r="T22" s="12" t="n">
        <v>303758</v>
      </c>
    </row>
    <row r="23" customFormat="false" ht="15" hidden="false" customHeight="false" outlineLevel="0" collapsed="false">
      <c r="H23" s="10" t="s">
        <v>39</v>
      </c>
      <c r="I23" s="11" t="n">
        <v>1200971</v>
      </c>
      <c r="J23" s="11" t="n">
        <v>1127476</v>
      </c>
      <c r="K23" s="11" t="n">
        <v>998848</v>
      </c>
      <c r="L23" s="11" t="n">
        <v>1068557</v>
      </c>
      <c r="M23" s="12" t="n">
        <v>922936</v>
      </c>
      <c r="O23" s="10" t="s">
        <v>40</v>
      </c>
      <c r="P23" s="11" t="n">
        <v>389901</v>
      </c>
      <c r="Q23" s="11" t="n">
        <v>490538</v>
      </c>
      <c r="R23" s="11" t="n">
        <v>563498</v>
      </c>
      <c r="S23" s="11" t="n">
        <v>314280</v>
      </c>
      <c r="T23" s="12" t="n">
        <v>285017</v>
      </c>
    </row>
    <row r="24" customFormat="false" ht="15" hidden="false" customHeight="false" outlineLevel="0" collapsed="false">
      <c r="H24" s="10" t="s">
        <v>41</v>
      </c>
      <c r="I24" s="18" t="s">
        <v>84</v>
      </c>
      <c r="J24" s="18" t="s">
        <v>84</v>
      </c>
      <c r="K24" s="18" t="s">
        <v>84</v>
      </c>
      <c r="L24" s="18" t="s">
        <v>84</v>
      </c>
      <c r="M24" s="45" t="n">
        <v>0</v>
      </c>
      <c r="O24" s="2" t="s">
        <v>42</v>
      </c>
      <c r="P24" s="12" t="n">
        <f aca="false">SUM(P11:P17)</f>
        <v>577203</v>
      </c>
      <c r="Q24" s="12" t="n">
        <f aca="false">SUM(Q11:Q17)</f>
        <v>843628</v>
      </c>
      <c r="R24" s="12" t="n">
        <f aca="false">SUM(R11:R17)</f>
        <v>896340</v>
      </c>
      <c r="S24" s="12" t="n">
        <f aca="false">SUM(S11:S17)</f>
        <v>508047</v>
      </c>
      <c r="T24" s="12" t="n">
        <f aca="false">SUM(T11:T17)</f>
        <v>643074</v>
      </c>
    </row>
    <row r="25" customFormat="false" ht="15" hidden="false" customHeight="false" outlineLevel="0" collapsed="false">
      <c r="H25" s="10" t="s">
        <v>43</v>
      </c>
      <c r="I25" s="18" t="s">
        <v>84</v>
      </c>
      <c r="J25" s="18" t="s">
        <v>84</v>
      </c>
      <c r="K25" s="11" t="n">
        <v>315000</v>
      </c>
      <c r="L25" s="11" t="n">
        <v>260000</v>
      </c>
      <c r="M25" s="12" t="n">
        <v>240000</v>
      </c>
      <c r="O25" s="2" t="s">
        <v>44</v>
      </c>
      <c r="P25" s="12" t="n">
        <f aca="false">P18+P19</f>
        <v>-201586</v>
      </c>
      <c r="Q25" s="12" t="n">
        <f aca="false">Q18+Q19</f>
        <v>-154330</v>
      </c>
      <c r="R25" s="12" t="n">
        <f aca="false">R18+R19</f>
        <v>-2120</v>
      </c>
      <c r="S25" s="12" t="n">
        <f aca="false">S18+S19</f>
        <v>1404</v>
      </c>
      <c r="T25" s="12" t="n">
        <f aca="false">T18+T19</f>
        <v>-29356</v>
      </c>
    </row>
    <row r="26" customFormat="false" ht="15" hidden="false" customHeight="false" outlineLevel="0" collapsed="false">
      <c r="B26" s="28"/>
      <c r="C26" s="28" t="n">
        <f aca="false">J20/C22</f>
        <v>0.158757646652806</v>
      </c>
      <c r="D26" s="28" t="n">
        <f aca="false">K20/D22</f>
        <v>0.162741776214583</v>
      </c>
      <c r="E26" s="28" t="n">
        <f aca="false">L20/E22</f>
        <v>0.0522785393661292</v>
      </c>
      <c r="F26" s="28" t="n">
        <f aca="false">M20/F22</f>
        <v>0.0930351739765962</v>
      </c>
      <c r="H26" s="10" t="s">
        <v>45</v>
      </c>
      <c r="I26" s="11" t="n">
        <v>451800</v>
      </c>
      <c r="J26" s="11" t="n">
        <v>526643</v>
      </c>
      <c r="K26" s="11" t="n">
        <v>201800</v>
      </c>
      <c r="L26" s="11" t="n">
        <v>1800</v>
      </c>
      <c r="M26" s="12" t="n">
        <v>1800</v>
      </c>
      <c r="O26" s="2" t="s">
        <v>46</v>
      </c>
      <c r="P26" s="12" t="n">
        <f aca="false">P20+P21</f>
        <v>-476254</v>
      </c>
      <c r="Q26" s="12" t="n">
        <f aca="false">Q20+Q21</f>
        <v>-762258</v>
      </c>
      <c r="R26" s="12" t="n">
        <f aca="false">R20+R21</f>
        <v>-622840</v>
      </c>
      <c r="S26" s="12" t="n">
        <f aca="false">S20+S21</f>
        <v>-480188</v>
      </c>
      <c r="T26" s="12" t="n">
        <f aca="false">T20+T21</f>
        <v>-632459</v>
      </c>
    </row>
    <row r="27" customFormat="false" ht="15" hidden="false" customHeight="false" outlineLevel="0" collapsed="false">
      <c r="H27" s="10" t="s">
        <v>47</v>
      </c>
      <c r="I27" s="11" t="n">
        <v>1240596</v>
      </c>
      <c r="J27" s="11" t="n">
        <v>1200971</v>
      </c>
      <c r="K27" s="11" t="n">
        <v>1127476</v>
      </c>
      <c r="L27" s="11" t="n">
        <v>998848</v>
      </c>
      <c r="M27" s="12" t="n">
        <v>1068557</v>
      </c>
      <c r="O27" s="2" t="s">
        <v>48</v>
      </c>
      <c r="P27" s="12" t="n">
        <f aca="false">P24+P25+P26</f>
        <v>-100637</v>
      </c>
      <c r="Q27" s="12" t="n">
        <f aca="false">Q24+Q25+Q26</f>
        <v>-72960</v>
      </c>
      <c r="R27" s="12" t="n">
        <f aca="false">R24+R25+R26</f>
        <v>271380</v>
      </c>
      <c r="S27" s="12" t="n">
        <f aca="false">S24+S25+S26</f>
        <v>29263</v>
      </c>
      <c r="T27" s="12" t="n">
        <f aca="false">T24+T25+T26</f>
        <v>-18741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0.170550002816765</v>
      </c>
      <c r="C30" s="24" t="n">
        <f aca="false">C11/C$16</f>
        <v>0.204105895950314</v>
      </c>
      <c r="D30" s="24" t="n">
        <f aca="false">D11/D$16</f>
        <v>0.211103856210363</v>
      </c>
      <c r="E30" s="24" t="n">
        <f aca="false">E11/E$16</f>
        <v>0.149855518229189</v>
      </c>
      <c r="F30" s="24" t="n">
        <f aca="false">F11/F$16</f>
        <v>0.130450990330126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0.421138054847685</v>
      </c>
      <c r="Q30" s="26" t="n">
        <f aca="false">Q11/J$11</f>
        <v>0.393669877307299</v>
      </c>
      <c r="R30" s="26" t="n">
        <f aca="false">R11/K$11</f>
        <v>0.398459748230536</v>
      </c>
      <c r="S30" s="26" t="n">
        <f aca="false">S11/L$11</f>
        <v>0.147291571245084</v>
      </c>
      <c r="T30" s="26" t="n">
        <f aca="false">T11/M$11</f>
        <v>0.282657213168456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0.0870917492371808</v>
      </c>
      <c r="C31" s="24" t="n">
        <f aca="false">C12/C$16</f>
        <v>0.0913900673051813</v>
      </c>
      <c r="D31" s="24" t="n">
        <f aca="false">D12/D$16</f>
        <v>0.093384002601997</v>
      </c>
      <c r="E31" s="24" t="n">
        <f aca="false">E12/E$16</f>
        <v>0.101360364896114</v>
      </c>
      <c r="F31" s="24" t="n">
        <f aca="false">F12/F$16</f>
        <v>0.0716579665629083</v>
      </c>
      <c r="G31" s="6"/>
      <c r="H31" s="25" t="s">
        <v>10</v>
      </c>
      <c r="I31" s="24" t="n">
        <f aca="false">I12/I$11</f>
        <v>0.561169990587947</v>
      </c>
      <c r="J31" s="24" t="n">
        <f aca="false">J12/J$11</f>
        <v>0.559481881624952</v>
      </c>
      <c r="K31" s="24" t="n">
        <f aca="false">K12/K$11</f>
        <v>0.57513103421806</v>
      </c>
      <c r="L31" s="24" t="n">
        <f aca="false">L12/L$11</f>
        <v>0.594825454156919</v>
      </c>
      <c r="M31" s="24" t="n">
        <f aca="false">M12/M$11</f>
        <v>0.607966065462897</v>
      </c>
      <c r="N31" s="6"/>
      <c r="O31" s="25" t="s">
        <v>11</v>
      </c>
      <c r="P31" s="26" t="n">
        <f aca="false">P12/I$11</f>
        <v>0.132798259844268</v>
      </c>
      <c r="Q31" s="26" t="n">
        <f aca="false">Q12/J$11</f>
        <v>0.105795895307261</v>
      </c>
      <c r="R31" s="26" t="n">
        <f aca="false">R12/K$11</f>
        <v>0.102019726806813</v>
      </c>
      <c r="S31" s="26" t="n">
        <f aca="false">S12/L$11</f>
        <v>0.135098280805075</v>
      </c>
      <c r="T31" s="26" t="n">
        <f aca="false">T12/M$11</f>
        <v>0.133272145327836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0.0779968740460665</v>
      </c>
      <c r="C32" s="24" t="n">
        <f aca="false">C13/C$16</f>
        <v>0.0681874848979971</v>
      </c>
      <c r="D32" s="24" t="n">
        <f aca="false">D13/D$16</f>
        <v>0.0879382689882783</v>
      </c>
      <c r="E32" s="24" t="n">
        <f aca="false">E13/E$16</f>
        <v>0.0909984046414066</v>
      </c>
      <c r="F32" s="24" t="n">
        <f aca="false">F13/F$16</f>
        <v>0.0816970905708436</v>
      </c>
      <c r="G32" s="6"/>
      <c r="H32" s="25" t="s">
        <v>13</v>
      </c>
      <c r="I32" s="24" t="n">
        <f aca="false">I13/I$11</f>
        <v>0.438830009412053</v>
      </c>
      <c r="J32" s="24" t="n">
        <f aca="false">J13/J$11</f>
        <v>0.440518118375048</v>
      </c>
      <c r="K32" s="24" t="n">
        <f aca="false">K13/K$11</f>
        <v>0.42486896578194</v>
      </c>
      <c r="L32" s="24" t="n">
        <f aca="false">L13/L$11</f>
        <v>0.405174545843081</v>
      </c>
      <c r="M32" s="24" t="n">
        <f aca="false">M13/M$11</f>
        <v>0.392033934537103</v>
      </c>
      <c r="N32" s="6"/>
      <c r="O32" s="25" t="s">
        <v>14</v>
      </c>
      <c r="P32" s="26" t="n">
        <f aca="false">P13/I$11</f>
        <v>0.0364587767195296</v>
      </c>
      <c r="Q32" s="26" t="n">
        <f aca="false">Q13/J$11</f>
        <v>0.0262529382506199</v>
      </c>
      <c r="R32" s="26" t="n">
        <f aca="false">R13/K$11</f>
        <v>0.0388755685224783</v>
      </c>
      <c r="S32" s="26" t="n">
        <f aca="false">S13/L$11</f>
        <v>0.246711084245707</v>
      </c>
      <c r="T32" s="26" t="n">
        <f aca="false">T13/M$11</f>
        <v>0.12803152398261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0.655577521954389</v>
      </c>
      <c r="C33" s="24" t="n">
        <f aca="false">C14/C$16</f>
        <v>0.629041912246739</v>
      </c>
      <c r="D33" s="24" t="n">
        <f aca="false">D14/D$16</f>
        <v>0.598922769329644</v>
      </c>
      <c r="E33" s="24" t="n">
        <f aca="false">E14/E$16</f>
        <v>0.645327923023011</v>
      </c>
      <c r="F33" s="24" t="n">
        <f aca="false">F14/F$16</f>
        <v>0.70937835514533</v>
      </c>
      <c r="G33" s="6"/>
      <c r="H33" s="25" t="s">
        <v>16</v>
      </c>
      <c r="I33" s="24" t="n">
        <f aca="false">I14/I$11</f>
        <v>0.0407972319176004</v>
      </c>
      <c r="J33" s="24" t="n">
        <f aca="false">J14/J$11</f>
        <v>0.015586654725949</v>
      </c>
      <c r="K33" s="24" t="n">
        <f aca="false">K14/K$11</f>
        <v>0.024624488758651</v>
      </c>
      <c r="L33" s="24" t="n">
        <f aca="false">L14/L$11</f>
        <v>0.0476456615900517</v>
      </c>
      <c r="M33" s="24" t="n">
        <f aca="false">M14/M$11</f>
        <v>0.0452409423633794</v>
      </c>
      <c r="N33" s="6"/>
      <c r="O33" s="25" t="s">
        <v>9</v>
      </c>
      <c r="P33" s="26" t="n">
        <f aca="false">P14/I$11</f>
        <v>0.0187166987960051</v>
      </c>
      <c r="Q33" s="26" t="n">
        <f aca="false">Q14/J$11</f>
        <v>0.0161528444335942</v>
      </c>
      <c r="R33" s="26" t="n">
        <f aca="false">R14/K$11</f>
        <v>0.0135102050548125</v>
      </c>
      <c r="S33" s="26" t="n">
        <f aca="false">S14/L$11</f>
        <v>-0.101871769831562</v>
      </c>
      <c r="T33" s="26" t="n">
        <f aca="false">T14/M$11</f>
        <v>0.00446944819168286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0.00878385194559844</v>
      </c>
      <c r="C34" s="24" t="n">
        <f aca="false">C15/C$16</f>
        <v>0.007274639599769</v>
      </c>
      <c r="D34" s="24" t="n">
        <f aca="false">D15/D$16</f>
        <v>0.0086511028697175</v>
      </c>
      <c r="E34" s="24" t="n">
        <f aca="false">E15/E$16</f>
        <v>0.0124577892102788</v>
      </c>
      <c r="F34" s="24" t="n">
        <f aca="false">F15/F$16</f>
        <v>0.00681559739079204</v>
      </c>
      <c r="G34" s="6"/>
      <c r="H34" s="25" t="s">
        <v>18</v>
      </c>
      <c r="I34" s="24" t="n">
        <f aca="false">I15/I$11</f>
        <v>0.479627241329653</v>
      </c>
      <c r="J34" s="24" t="n">
        <f aca="false">J15/J$11</f>
        <v>0.456104773100997</v>
      </c>
      <c r="K34" s="24" t="n">
        <f aca="false">K15/K$11</f>
        <v>0.449493454540591</v>
      </c>
      <c r="L34" s="24" t="n">
        <f aca="false">L15/L$11</f>
        <v>0.452820207433133</v>
      </c>
      <c r="M34" s="24" t="n">
        <f aca="false">M15/M$11</f>
        <v>0.437274876900482</v>
      </c>
      <c r="N34" s="6"/>
      <c r="O34" s="25" t="s">
        <v>19</v>
      </c>
      <c r="P34" s="26" t="e">
        <f aca="false">P15/I$11</f>
        <v>#VALUE!</v>
      </c>
      <c r="Q34" s="26" t="e">
        <f aca="false">Q15/J$11</f>
        <v>#VALUE!</v>
      </c>
      <c r="R34" s="26" t="e">
        <f aca="false">R15/K$11</f>
        <v>#VALUE!</v>
      </c>
      <c r="S34" s="26" t="e">
        <f aca="false">S15/L$11</f>
        <v>#VALUE!</v>
      </c>
      <c r="T34" s="26" t="n">
        <f aca="false">T15/M$11</f>
        <v>-0.0233351013651297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0.0516891174231183</v>
      </c>
      <c r="J35" s="24" t="n">
        <f aca="false">J16/J$11</f>
        <v>0.0396807664138701</v>
      </c>
      <c r="K35" s="24" t="n">
        <f aca="false">K16/K$11</f>
        <v>0.0293006061332097</v>
      </c>
      <c r="L35" s="24" t="n">
        <f aca="false">L16/L$11</f>
        <v>0.0313376306357263</v>
      </c>
      <c r="M35" s="24" t="n">
        <f aca="false">M16/M$11</f>
        <v>0.0318201948142436</v>
      </c>
      <c r="N35" s="6"/>
      <c r="O35" s="25" t="s">
        <v>22</v>
      </c>
      <c r="P35" s="26" t="n">
        <f aca="false">P16/I$11</f>
        <v>-0.149883960445509</v>
      </c>
      <c r="Q35" s="26" t="n">
        <f aca="false">Q16/J$11</f>
        <v>-0.028265651340378</v>
      </c>
      <c r="R35" s="26" t="n">
        <f aca="false">R16/K$11</f>
        <v>-0.0316127865437613</v>
      </c>
      <c r="S35" s="26" t="n">
        <f aca="false">S16/L$11</f>
        <v>-0.0476247404470699</v>
      </c>
      <c r="T35" s="26" t="n">
        <f aca="false">T16/M$11</f>
        <v>-0.0559169847056738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0.0728006634463839</v>
      </c>
      <c r="C36" s="24" t="n">
        <f aca="false">C17/C$16</f>
        <v>0.129207151589572</v>
      </c>
      <c r="D36" s="24" t="n">
        <f aca="false">D17/D$16</f>
        <v>0.154163927765281</v>
      </c>
      <c r="E36" s="24" t="n">
        <f aca="false">E17/E$16</f>
        <v>0.139919320079905</v>
      </c>
      <c r="F36" s="24" t="n">
        <f aca="false">F17/F$16</f>
        <v>0.104328100727563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e">
        <f aca="false">P17/I$11</f>
        <v>#VALUE!</v>
      </c>
      <c r="Q36" s="26" t="e">
        <f aca="false">Q17/J$11</f>
        <v>#VALUE!</v>
      </c>
      <c r="R36" s="26" t="e">
        <f aca="false">R17/K$11</f>
        <v>#VALUE!</v>
      </c>
      <c r="S36" s="26" t="e">
        <f aca="false">S17/L$11</f>
        <v>#VALUE!</v>
      </c>
      <c r="T36" s="26" t="n">
        <f aca="false">T17/M$11</f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0.0411871288257235</v>
      </c>
      <c r="C37" s="24" t="n">
        <f aca="false">C18/C$16</f>
        <v>0.0248431638545164</v>
      </c>
      <c r="D37" s="24" t="n">
        <f aca="false">D18/D$16</f>
        <v>0.0457576411685936</v>
      </c>
      <c r="E37" s="24" t="n">
        <f aca="false">E18/E$16</f>
        <v>0.126518557755854</v>
      </c>
      <c r="F37" s="24" t="n">
        <f aca="false">F18/F$16</f>
        <v>0.191475740645576</v>
      </c>
      <c r="G37" s="6"/>
      <c r="H37" s="25" t="s">
        <v>26</v>
      </c>
      <c r="I37" s="24" t="n">
        <f aca="false">I18/I$11</f>
        <v>0.0223940030185401</v>
      </c>
      <c r="J37" s="24" t="n">
        <f aca="false">J18/J$11</f>
        <v>0.040024741881418</v>
      </c>
      <c r="K37" s="24" t="n">
        <f aca="false">K18/K$11</f>
        <v>0.0326124440200536</v>
      </c>
      <c r="L37" s="24" t="n">
        <f aca="false">L18/L$11</f>
        <v>0.26514858868211</v>
      </c>
      <c r="M37" s="24" t="n">
        <f aca="false">M18/M$11</f>
        <v>0.116849878049581</v>
      </c>
      <c r="N37" s="6"/>
      <c r="O37" s="25" t="s">
        <v>27</v>
      </c>
      <c r="P37" s="26" t="n">
        <f aca="false">P18/I$11</f>
        <v>-0.189126572620394</v>
      </c>
      <c r="Q37" s="26" t="n">
        <f aca="false">Q18/J$11</f>
        <v>-0.103419116147426</v>
      </c>
      <c r="R37" s="26" t="n">
        <f aca="false">R18/K$11</f>
        <v>-0.0276193904473685</v>
      </c>
      <c r="S37" s="26" t="n">
        <f aca="false">S18/L$11</f>
        <v>-0.0309042641025315</v>
      </c>
      <c r="T37" s="26" t="n">
        <f aca="false">T18/M$11</f>
        <v>-0.0322973445232479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0.0149076297644267</v>
      </c>
      <c r="C38" s="24" t="n">
        <f aca="false">C19/C$16</f>
        <v>0.0139684378732169</v>
      </c>
      <c r="D38" s="24" t="n">
        <f aca="false">D19/D$16</f>
        <v>0.0116496504787421</v>
      </c>
      <c r="E38" s="24" t="n">
        <f aca="false">E19/E$16</f>
        <v>0.0107977167757516</v>
      </c>
      <c r="F38" s="24" t="n">
        <f aca="false">F19/F$16</f>
        <v>0.0101000384537138</v>
      </c>
      <c r="G38" s="6"/>
      <c r="H38" s="25" t="s">
        <v>29</v>
      </c>
      <c r="I38" s="24" t="n">
        <f aca="false">I19/I$11</f>
        <v>0.0740831204416584</v>
      </c>
      <c r="J38" s="24" t="n">
        <f aca="false">J19/J$11</f>
        <v>0.079705508295288</v>
      </c>
      <c r="K38" s="24" t="n">
        <f aca="false">K19/K$11</f>
        <v>0.0619130501532634</v>
      </c>
      <c r="L38" s="24" t="n">
        <f aca="false">L19/L$11</f>
        <v>0.296486219317836</v>
      </c>
      <c r="M38" s="24" t="n">
        <f aca="false">M19/M$11</f>
        <v>0.148670072863825</v>
      </c>
      <c r="N38" s="6"/>
      <c r="O38" s="25" t="s">
        <v>30</v>
      </c>
      <c r="P38" s="26" t="n">
        <f aca="false">P19/I$11</f>
        <v>0.0287429618449852</v>
      </c>
      <c r="Q38" s="26" t="n">
        <f aca="false">Q19/J$11</f>
        <v>0.0094620649851847</v>
      </c>
      <c r="R38" s="26" t="n">
        <f aca="false">R19/K$11</f>
        <v>0.0263865377133722</v>
      </c>
      <c r="S38" s="26" t="n">
        <f aca="false">S19/L$11</f>
        <v>0.031953309986334</v>
      </c>
      <c r="T38" s="26" t="n">
        <f aca="false">T19/M$11</f>
        <v>0.0108795970346678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0.871104577963466</v>
      </c>
      <c r="C39" s="24" t="n">
        <f aca="false">C20/C$16</f>
        <v>0.831981246682695</v>
      </c>
      <c r="D39" s="24" t="n">
        <f aca="false">D20/D$16</f>
        <v>0.788428780587383</v>
      </c>
      <c r="E39" s="24" t="n">
        <f aca="false">E20/E$16</f>
        <v>0.722764405388489</v>
      </c>
      <c r="F39" s="24" t="n">
        <f aca="false">F20/F$16</f>
        <v>0.694096120173148</v>
      </c>
      <c r="G39" s="6"/>
      <c r="H39" s="25" t="s">
        <v>32</v>
      </c>
      <c r="I39" s="24" t="n">
        <f aca="false">I20/I$11</f>
        <v>0.405544120887995</v>
      </c>
      <c r="J39" s="24" t="n">
        <f aca="false">J20/J$11</f>
        <v>0.376399264805709</v>
      </c>
      <c r="K39" s="24" t="n">
        <f aca="false">K20/K$11</f>
        <v>0.387580404387327</v>
      </c>
      <c r="L39" s="24" t="n">
        <f aca="false">L20/L$11</f>
        <v>0.156333988115296</v>
      </c>
      <c r="M39" s="24" t="n">
        <f aca="false">M20/M$11</f>
        <v>0.288604804036657</v>
      </c>
      <c r="N39" s="6"/>
      <c r="O39" s="25" t="s">
        <v>33</v>
      </c>
      <c r="P39" s="26" t="n">
        <f aca="false">P20/I$11</f>
        <v>-0.0201312913766341</v>
      </c>
      <c r="Q39" s="26" t="n">
        <f aca="false">Q20/J$11</f>
        <v>-0.141183969647361</v>
      </c>
      <c r="R39" s="26" t="n">
        <f aca="false">R20/K$11</f>
        <v>-0.179376002056305</v>
      </c>
      <c r="S39" s="26" t="n">
        <f aca="false">S20/L$11</f>
        <v>-0.152576401399027</v>
      </c>
      <c r="T39" s="26" t="n">
        <f aca="false">T20/M$11</f>
        <v>-0.271292440970963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0.0145620292481735</v>
      </c>
      <c r="J40" s="24" t="n">
        <f aca="false">J21/J$11</f>
        <v>0.0110315672070227</v>
      </c>
      <c r="K40" s="24" t="n">
        <f aca="false">K21/K$11</f>
        <v>0.0122418787279984</v>
      </c>
      <c r="L40" s="24" t="n">
        <f aca="false">L21/L$11</f>
        <v>0.012806728239583</v>
      </c>
      <c r="M40" s="24" t="n">
        <f aca="false">M21/M$11</f>
        <v>0.00594759086820089</v>
      </c>
      <c r="N40" s="6"/>
      <c r="O40" s="25" t="s">
        <v>36</v>
      </c>
      <c r="P40" s="26" t="n">
        <f aca="false">P21/I$11</f>
        <v>-0.358780618013062</v>
      </c>
      <c r="Q40" s="26" t="n">
        <f aca="false">Q21/J$11</f>
        <v>-0.322883378922766</v>
      </c>
      <c r="R40" s="26" t="n">
        <f aca="false">R21/K$11</f>
        <v>-0.182826826642878</v>
      </c>
      <c r="S40" s="26" t="n">
        <f aca="false">S21/L$11</f>
        <v>-0.206212234534979</v>
      </c>
      <c r="T40" s="26" t="n">
        <f aca="false">T21/M$11</f>
        <v>-0.190141240691386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0.390982091639821</v>
      </c>
      <c r="J41" s="24" t="n">
        <f aca="false">J22/J$11</f>
        <v>0.365367697598686</v>
      </c>
      <c r="K41" s="24" t="n">
        <f aca="false">K22/K$11</f>
        <v>0.375338525659329</v>
      </c>
      <c r="L41" s="24" t="n">
        <f aca="false">L22/L$11</f>
        <v>0.143527259875713</v>
      </c>
      <c r="M41" s="24" t="n">
        <f aca="false">M22/M$11</f>
        <v>0.282657213168456</v>
      </c>
      <c r="N41" s="6"/>
      <c r="O41" s="25" t="s">
        <v>38</v>
      </c>
      <c r="P41" s="26" t="n">
        <f aca="false">P22/I$11</f>
        <v>0.390276386567258</v>
      </c>
      <c r="Q41" s="26" t="n">
        <f aca="false">Q22/J$11</f>
        <v>0.343061040729739</v>
      </c>
      <c r="R41" s="26" t="n">
        <f aca="false">R22/K$11</f>
        <v>0.16987663912714</v>
      </c>
      <c r="S41" s="26" t="n">
        <f aca="false">S22/L$11</f>
        <v>0.212960050330293</v>
      </c>
      <c r="T41" s="26" t="n">
        <f aca="false">T22/M$11</f>
        <v>0.221617800164741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0.955503186811351</v>
      </c>
      <c r="J42" s="24" t="n">
        <f aca="false">J23/J$11</f>
        <v>0.68641430840536</v>
      </c>
      <c r="K42" s="24" t="n">
        <f aca="false">K23/K$11</f>
        <v>0.580864380965452</v>
      </c>
      <c r="L42" s="24" t="n">
        <f aca="false">L23/L$11</f>
        <v>0.798408349329291</v>
      </c>
      <c r="M42" s="24" t="n">
        <f aca="false">M23/M$11</f>
        <v>0.673361840718088</v>
      </c>
      <c r="N42" s="6"/>
      <c r="O42" s="25" t="s">
        <v>40</v>
      </c>
      <c r="P42" s="26" t="n">
        <f aca="false">P23/I$11</f>
        <v>0.310208696164131</v>
      </c>
      <c r="Q42" s="26" t="n">
        <f aca="false">Q23/J$11</f>
        <v>0.298642544955767</v>
      </c>
      <c r="R42" s="26" t="n">
        <f aca="false">R23/K$11</f>
        <v>0.327693419764839</v>
      </c>
      <c r="S42" s="26" t="n">
        <f aca="false">S23/L$11</f>
        <v>0.234824886297324</v>
      </c>
      <c r="T42" s="26" t="n">
        <f aca="false">T23/M$11</f>
        <v>0.207944615613593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e">
        <f aca="false">I24/I$11</f>
        <v>#VALUE!</v>
      </c>
      <c r="J43" s="24" t="e">
        <f aca="false">J24/J$11</f>
        <v>#VALUE!</v>
      </c>
      <c r="K43" s="24" t="e">
        <f aca="false">K24/K$11</f>
        <v>#VALUE!</v>
      </c>
      <c r="L43" s="24" t="e">
        <f aca="false">L24/L$11</f>
        <v>#VALUE!</v>
      </c>
      <c r="M43" s="24" t="n">
        <f aca="false">M24/M$11</f>
        <v>0</v>
      </c>
      <c r="N43" s="6"/>
      <c r="O43" s="2" t="s">
        <v>49</v>
      </c>
      <c r="P43" s="26" t="n">
        <f aca="false">P24/I11</f>
        <v>0.459227829761978</v>
      </c>
      <c r="Q43" s="26" t="n">
        <f aca="false">Q24/J11</f>
        <v>0.513605903958397</v>
      </c>
      <c r="R43" s="26" t="n">
        <f aca="false">R24/K11</f>
        <v>0.521252462070879</v>
      </c>
      <c r="S43" s="26" t="n">
        <f aca="false">S24/L11</f>
        <v>0.379604426017235</v>
      </c>
      <c r="T43" s="26" t="n">
        <f aca="false">T24/M11</f>
        <v>0.469178244599782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e">
        <f aca="false">I25/I$11</f>
        <v>#VALUE!</v>
      </c>
      <c r="J44" s="24" t="e">
        <f aca="false">J25/J$11</f>
        <v>#VALUE!</v>
      </c>
      <c r="K44" s="24" t="n">
        <f aca="false">K25/K$11</f>
        <v>0.183183307173982</v>
      </c>
      <c r="L44" s="24" t="n">
        <f aca="false">L25/L$11</f>
        <v>0.194267756259718</v>
      </c>
      <c r="M44" s="24" t="n">
        <f aca="false">M25/M$11</f>
        <v>0.175100810643795</v>
      </c>
      <c r="N44" s="6"/>
      <c r="O44" s="2" t="s">
        <v>50</v>
      </c>
      <c r="P44" s="26" t="n">
        <f aca="false">P24/B16</f>
        <v>0.151241407229522</v>
      </c>
      <c r="Q44" s="26" t="n">
        <f aca="false">Q24/C16</f>
        <v>0.216628650062616</v>
      </c>
      <c r="R44" s="26" t="n">
        <f aca="false">R24/D16</f>
        <v>0.218869557318654</v>
      </c>
      <c r="S44" s="26" t="n">
        <f aca="false">S24/E16</f>
        <v>0.12694082181581</v>
      </c>
      <c r="T44" s="26" t="n">
        <f aca="false">T24/F16</f>
        <v>0.151245159477077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0.359456089948357</v>
      </c>
      <c r="J45" s="24" t="n">
        <f aca="false">J26/J$11</f>
        <v>0.320623490541283</v>
      </c>
      <c r="K45" s="24" t="n">
        <f aca="false">K26/K$11</f>
        <v>0.117353623453046</v>
      </c>
      <c r="L45" s="24" t="n">
        <f aca="false">L26/L$11</f>
        <v>0.00134493062025959</v>
      </c>
      <c r="M45" s="24" t="n">
        <f aca="false">M26/M$11</f>
        <v>0.00131325607982846</v>
      </c>
      <c r="N45" s="6"/>
      <c r="O45" s="2" t="s">
        <v>51</v>
      </c>
      <c r="P45" s="26" t="n">
        <f aca="false">P24/B20</f>
        <v>0.173620264495803</v>
      </c>
      <c r="Q45" s="26" t="n">
        <f aca="false">Q24/C20</f>
        <v>0.260376842538658</v>
      </c>
      <c r="R45" s="26" t="n">
        <f aca="false">R24/D20</f>
        <v>0.277602191482146</v>
      </c>
      <c r="S45" s="26" t="n">
        <f aca="false">S24/E20</f>
        <v>0.175632364944119</v>
      </c>
      <c r="T45" s="26" t="n">
        <f aca="false">T24/F20</f>
        <v>0.217902326610538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0.987029188502815</v>
      </c>
      <c r="J46" s="24" t="n">
        <f aca="false">J27/J$11</f>
        <v>0.731158515462763</v>
      </c>
      <c r="K46" s="24" t="n">
        <f aca="false">K27/K$11</f>
        <v>0.655665975997753</v>
      </c>
      <c r="L46" s="24" t="n">
        <f aca="false">L27/L$11</f>
        <v>0.746322922325026</v>
      </c>
      <c r="M46" s="24" t="n">
        <f aca="false">M27/M$11</f>
        <v>0.779604987162922</v>
      </c>
      <c r="N46" s="6"/>
      <c r="O46" s="2" t="s">
        <v>52</v>
      </c>
      <c r="P46" s="26" t="n">
        <f aca="false">P24/I22</f>
        <v>1.17454952434247</v>
      </c>
      <c r="Q46" s="26" t="n">
        <f aca="false">Q24/J22</f>
        <v>1.4057233502961</v>
      </c>
      <c r="R46" s="26" t="n">
        <f aca="false">R24/K22</f>
        <v>1.38875288955546</v>
      </c>
      <c r="S46" s="26" t="n">
        <f aca="false">S24/L22</f>
        <v>2.64482458834615</v>
      </c>
      <c r="T46" s="26" t="n">
        <f aca="false">T24/M22</f>
        <v>1.65988420865157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1.1733652354748</v>
      </c>
      <c r="Q47" s="26" t="n">
        <f aca="false">Q24/(C22-C20)</f>
        <v>1.2893123284489</v>
      </c>
      <c r="R47" s="26" t="n">
        <f aca="false">R24/(D22-D20)</f>
        <v>1.03449589186232</v>
      </c>
      <c r="S47" s="26" t="n">
        <f aca="false">S24/(E22-E20)</f>
        <v>0.457880677240208</v>
      </c>
      <c r="T47" s="26" t="n">
        <f aca="false">T24/(F22-F20)</f>
        <v>0.494420533543688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 aca="false">P24/I25</f>
        <v>#VALUE!</v>
      </c>
      <c r="Q48" s="26" t="e">
        <f aca="false">Q24/J25</f>
        <v>#VALUE!</v>
      </c>
      <c r="R48" s="26" t="n">
        <f aca="false">R24/K25</f>
        <v>2.84552380952381</v>
      </c>
      <c r="S48" s="26" t="n">
        <f aca="false">S24/L25</f>
        <v>1.95402692307692</v>
      </c>
      <c r="T48" s="26" t="n">
        <f aca="false">T24/M25</f>
        <v>2.679475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2.42815075321922</v>
      </c>
      <c r="Q49" s="26" t="n">
        <f aca="false">Q24/(Q18*-1)</f>
        <v>4.96625694640671</v>
      </c>
      <c r="R49" s="26" t="n">
        <f aca="false">R24/(R18*-1)</f>
        <v>18.872699709437</v>
      </c>
      <c r="S49" s="26" t="n">
        <f aca="false">S24/(S18*-1)</f>
        <v>12.283237832741</v>
      </c>
      <c r="T49" s="26" t="n">
        <f aca="false">T24/(T18*-1)</f>
        <v>14.526836541068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-0.271447275369762</v>
      </c>
      <c r="J50" s="28" t="n">
        <f aca="false">LN(J13/K13)</f>
        <v>-0.00965914686207243</v>
      </c>
      <c r="K50" s="28" t="n">
        <f aca="false">LN(K13/L13)</f>
        <v>0.29810392607949</v>
      </c>
      <c r="L50" s="28" t="n">
        <f aca="false">LN(L13/M13)</f>
        <v>0.00913673008517016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2.34269846925738</v>
      </c>
      <c r="C51" s="30" t="n">
        <f aca="false">C11/C17</f>
        <v>1.57967955673738</v>
      </c>
      <c r="D51" s="30" t="n">
        <f aca="false">D11/D17</f>
        <v>1.36934663815633</v>
      </c>
      <c r="E51" s="30" t="n">
        <f aca="false">E11/E17</f>
        <v>1.071013768103</v>
      </c>
      <c r="F51" s="30" t="n">
        <f aca="false">F11/F17</f>
        <v>1.25039169140804</v>
      </c>
      <c r="H51" s="29" t="s">
        <v>58</v>
      </c>
      <c r="I51" s="31" t="n">
        <f aca="false">I13/I11</f>
        <v>0.438830009412053</v>
      </c>
      <c r="J51" s="31" t="n">
        <f aca="false">J13/J11</f>
        <v>0.440518118375048</v>
      </c>
      <c r="K51" s="31" t="n">
        <f aca="false">K13/K11</f>
        <v>0.42486896578194</v>
      </c>
      <c r="L51" s="31" t="n">
        <f aca="false">L13/L11</f>
        <v>0.405174545843081</v>
      </c>
      <c r="M51" s="31" t="n">
        <f aca="false">M13/M11</f>
        <v>0.392033934537103</v>
      </c>
      <c r="O51" s="2" t="s">
        <v>59</v>
      </c>
      <c r="P51" s="32" t="n">
        <f aca="false">(P11-P24-P25)/B16</f>
        <v>0.040276069158783</v>
      </c>
      <c r="Q51" s="32" t="n">
        <f aca="false">(Q11-Q24-Q25)/C16</f>
        <v>-0.0109574098482648</v>
      </c>
      <c r="R51" s="32" t="n">
        <f aca="false">(R11-R24-R25)/D16</f>
        <v>-0.0510419708759959</v>
      </c>
      <c r="S51" s="32" t="n">
        <f aca="false">(S11-S24-S25)/E16</f>
        <v>-0.0780368968838661</v>
      </c>
      <c r="T51" s="32" t="n">
        <f aca="false">(T11-T24-T25)/F16</f>
        <v>-0.053222997437595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0.133561294768547</v>
      </c>
      <c r="C52" s="31" t="n">
        <f aca="false">J20/C16</f>
        <v>0.158757646652806</v>
      </c>
      <c r="D52" s="31" t="n">
        <f aca="false">K20/D16</f>
        <v>0.162741776214583</v>
      </c>
      <c r="E52" s="31" t="n">
        <f aca="false">L20/E16</f>
        <v>0.0522785393661292</v>
      </c>
      <c r="F52" s="31" t="n">
        <f aca="false">M20/F16</f>
        <v>0.0930351739765962</v>
      </c>
      <c r="G52" s="31"/>
      <c r="H52" s="29" t="s">
        <v>61</v>
      </c>
      <c r="I52" s="31" t="n">
        <f aca="false">I16/I11</f>
        <v>0.0516891174231183</v>
      </c>
      <c r="J52" s="31" t="n">
        <f aca="false">J16/J11</f>
        <v>0.0396807664138701</v>
      </c>
      <c r="K52" s="31" t="n">
        <f aca="false">K16/K11</f>
        <v>0.0293006061332097</v>
      </c>
      <c r="L52" s="31" t="n">
        <f aca="false">L16/L11</f>
        <v>0.0313376306357263</v>
      </c>
      <c r="M52" s="31" t="n">
        <f aca="false">M16/M11</f>
        <v>0.0318201948142436</v>
      </c>
    </row>
    <row r="53" customFormat="false" ht="15" hidden="false" customHeight="false" outlineLevel="0" collapsed="false">
      <c r="A53" s="29" t="s">
        <v>62</v>
      </c>
      <c r="B53" s="49" t="n">
        <f aca="false">I20/B20</f>
        <v>0.153324064810676</v>
      </c>
      <c r="C53" s="49" t="n">
        <f aca="false">J20/C20</f>
        <v>0.190818780213869</v>
      </c>
      <c r="D53" s="31" t="n">
        <f aca="false">K20/D20</f>
        <v>0.206412779722906</v>
      </c>
      <c r="E53" s="31" t="n">
        <f aca="false">L20/E20</f>
        <v>0.0723313696363191</v>
      </c>
      <c r="F53" s="31" t="n">
        <f aca="false">M20/F20</f>
        <v>0.134037882178895</v>
      </c>
      <c r="H53" s="29" t="s">
        <v>11</v>
      </c>
      <c r="I53" s="31" t="e">
        <f aca="false">I17/I11</f>
        <v>#VALUE!</v>
      </c>
      <c r="J53" s="31" t="e">
        <f aca="false">J17/J11</f>
        <v>#VALUE!</v>
      </c>
      <c r="K53" s="31" t="e">
        <f aca="false">K17/K11</f>
        <v>#VALUE!</v>
      </c>
      <c r="L53" s="31" t="e">
        <f aca="false">L17/L11</f>
        <v>#VALUE!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3.78151212467657</v>
      </c>
      <c r="C54" s="30" t="n">
        <f aca="false">J11/C12</f>
        <v>4.61516134923645</v>
      </c>
      <c r="D54" s="30" t="n">
        <f aca="false">K11/D12</f>
        <v>4.49639809955627</v>
      </c>
      <c r="E54" s="30" t="n">
        <f aca="false">L11/E12</f>
        <v>3.29914856483627</v>
      </c>
      <c r="F54" s="30" t="n">
        <f aca="false">M11/F12</f>
        <v>4.49861822239727</v>
      </c>
      <c r="H54" s="29" t="s">
        <v>64</v>
      </c>
      <c r="I54" s="31" t="e">
        <f aca="false">I25/I22</f>
        <v>#VALUE!</v>
      </c>
      <c r="J54" s="31" t="e">
        <f aca="false">J25/J22</f>
        <v>#VALUE!</v>
      </c>
      <c r="K54" s="31" t="n">
        <f aca="false">K25/K22</f>
        <v>0.48804824085723</v>
      </c>
      <c r="L54" s="31" t="n">
        <f aca="false">L25/L22</f>
        <v>1.35352515214143</v>
      </c>
      <c r="M54" s="31" t="n">
        <f aca="false">M25/M22</f>
        <v>0.619481132927745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0.128895422036534</v>
      </c>
      <c r="C55" s="31" t="n">
        <f aca="false">(C22-C20)/C16</f>
        <v>0.168018753317305</v>
      </c>
      <c r="D55" s="31" t="n">
        <f aca="false">(D22-D20)/D16</f>
        <v>0.211571219412617</v>
      </c>
      <c r="E55" s="31" t="n">
        <f aca="false">(E22-E20)/E16</f>
        <v>0.277235594611511</v>
      </c>
      <c r="F55" s="31" t="n">
        <f aca="false">(F22-F20)/F16</f>
        <v>0.305903879826853</v>
      </c>
      <c r="H55" s="29" t="s">
        <v>66</v>
      </c>
      <c r="I55" s="31" t="n">
        <f aca="false">I22/I11</f>
        <v>0.390982091639822</v>
      </c>
      <c r="J55" s="31" t="n">
        <f aca="false">J22/J11</f>
        <v>0.365367697598686</v>
      </c>
      <c r="K55" s="31" t="n">
        <f aca="false">K22/K11</f>
        <v>0.375338525659329</v>
      </c>
      <c r="L55" s="31" t="n">
        <f aca="false">L22/L11</f>
        <v>0.143527259875713</v>
      </c>
      <c r="M55" s="31" t="n">
        <f aca="false">M22/M11</f>
        <v>0.282657213168456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0.147967793187215</v>
      </c>
      <c r="C56" s="31" t="n">
        <f aca="false">(C22-C20)/C20</f>
        <v>0.201950168933777</v>
      </c>
      <c r="D56" s="31" t="n">
        <f aca="false">(D22-D20)/D20</f>
        <v>0.268345378329537</v>
      </c>
      <c r="E56" s="31" t="n">
        <f aca="false">(E22-E20)/E20</f>
        <v>0.383576712611484</v>
      </c>
      <c r="F56" s="31" t="n">
        <f aca="false">(F22-F20)/F20</f>
        <v>0.440722647679607</v>
      </c>
      <c r="H56" s="33" t="s">
        <v>68</v>
      </c>
      <c r="I56" s="34" t="n">
        <f aca="false">I13/B16</f>
        <v>0.144523619555947</v>
      </c>
      <c r="J56" s="34" t="n">
        <f aca="false">J13/C16</f>
        <v>0.185801690705332</v>
      </c>
      <c r="K56" s="34" t="n">
        <f aca="false">K13/D16</f>
        <v>0.178398931852878</v>
      </c>
      <c r="L56" s="34" t="n">
        <f aca="false">L13/E16</f>
        <v>0.135491544099734</v>
      </c>
      <c r="M56" s="34" t="n">
        <f aca="false">M13/F16</f>
        <v>0.126376778190277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0.329338505699691</v>
      </c>
      <c r="C57" s="30" t="n">
        <f aca="false">J11/C16</f>
        <v>0.421779906330991</v>
      </c>
      <c r="D57" s="30" t="n">
        <f aca="false">K11/D16</f>
        <v>0.419891651828577</v>
      </c>
      <c r="E57" s="30" t="n">
        <f aca="false">L11/E16</f>
        <v>0.334402902378296</v>
      </c>
      <c r="F57" s="30" t="n">
        <f aca="false">M11/F16</f>
        <v>0.322361834159833</v>
      </c>
      <c r="H57" s="33" t="s">
        <v>70</v>
      </c>
      <c r="I57" s="35" t="e">
        <f aca="false">I25/$C$5</f>
        <v>#VALUE!</v>
      </c>
      <c r="J57" s="35" t="e">
        <f aca="false">J25/$C$5</f>
        <v>#VALUE!</v>
      </c>
      <c r="K57" s="35" t="n">
        <f aca="false">K25/$C$5</f>
        <v>73.4779566130161</v>
      </c>
      <c r="L57" s="35" t="n">
        <f aca="false">L25/$C$5</f>
        <v>60.6484721250292</v>
      </c>
      <c r="M57" s="35" t="n">
        <f aca="false">M25/$C$5</f>
        <v>55.9832050384885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1.14796779318721</v>
      </c>
      <c r="C58" s="30" t="n">
        <f aca="false">C16/C20</f>
        <v>1.20195016893378</v>
      </c>
      <c r="D58" s="30" t="n">
        <f aca="false">D16/D20</f>
        <v>1.26834537832954</v>
      </c>
      <c r="E58" s="30" t="n">
        <f aca="false">E16/E20</f>
        <v>1.38357671261148</v>
      </c>
      <c r="F58" s="30" t="n">
        <f aca="false">F16/F20</f>
        <v>1.44072264767961</v>
      </c>
      <c r="H58" s="36" t="s">
        <v>72</v>
      </c>
      <c r="I58" s="37" t="n">
        <f aca="false">I22/$C$7/1000</f>
        <v>4.91425</v>
      </c>
      <c r="J58" s="37" t="n">
        <f aca="false">J22/$C$7/1000</f>
        <v>6.00138</v>
      </c>
      <c r="K58" s="37" t="n">
        <f aca="false">K22/$C$7/1000</f>
        <v>6.45428</v>
      </c>
      <c r="L58" s="37" t="n">
        <f aca="false">L22/$C$7/1000</f>
        <v>1.92091</v>
      </c>
      <c r="M58" s="37" t="n">
        <f aca="false">M22/$C$7/1000</f>
        <v>3.87421</v>
      </c>
    </row>
    <row r="59" customFormat="false" ht="15" hidden="false" customHeight="false" outlineLevel="0" collapsed="false">
      <c r="A59" s="2" t="s">
        <v>90</v>
      </c>
      <c r="B59" s="28" t="n">
        <f aca="false">I20/(B16-B17)</f>
        <v>0.144048091389919</v>
      </c>
      <c r="C59" s="28" t="n">
        <f aca="false">J20/(C16-C17)</f>
        <v>0.182313907311718</v>
      </c>
      <c r="D59" s="28" t="n">
        <f aca="false">K20/(D16-D17)</f>
        <v>0.192403447377948</v>
      </c>
      <c r="E59" s="28" t="n">
        <f aca="false">L20/(E16-E17)</f>
        <v>0.0607832969471958</v>
      </c>
      <c r="F59" s="28" t="n">
        <f aca="false">M20/(F16-F17)</f>
        <v>0.103871935752556</v>
      </c>
      <c r="H59" s="36" t="s">
        <v>73</v>
      </c>
      <c r="I59" s="37" t="n">
        <f aca="false">B20/$C$7/1000</f>
        <v>33.24514</v>
      </c>
      <c r="J59" s="37" t="n">
        <f aca="false">C20/$C$7/1000</f>
        <v>32.40027</v>
      </c>
      <c r="K59" s="37" t="n">
        <f aca="false">D20/$C$7/1000</f>
        <v>32.28865</v>
      </c>
      <c r="L59" s="37" t="n">
        <f aca="false">E20/$C$7/1000</f>
        <v>28.92673</v>
      </c>
      <c r="M59" s="37" t="n">
        <f aca="false">F20/$C$7/1000</f>
        <v>29.51203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60.6294970126959</v>
      </c>
      <c r="J60" s="38" t="n">
        <f aca="false">SQRT(22.5*J58*J59)</f>
        <v>66.144103882232</v>
      </c>
      <c r="K60" s="38" t="n">
        <f aca="false">SQRT(22.5*K58*K59)</f>
        <v>68.4762712787795</v>
      </c>
      <c r="L60" s="38" t="n">
        <f aca="false">SQRT(22.5*L58*L59)</f>
        <v>35.3585493310564</v>
      </c>
      <c r="M60" s="38" t="n">
        <f aca="false">SQRT(22.5*M58*M59)</f>
        <v>50.7203661194569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2.2546388</v>
      </c>
      <c r="J61" s="39" t="n">
        <f aca="false">J58-(C20*0.08/1000/$C$7)</f>
        <v>3.4093584</v>
      </c>
      <c r="K61" s="39" t="n">
        <f aca="false">K58-(D20*0.08/1000/$C$7)</f>
        <v>3.871188</v>
      </c>
      <c r="L61" s="39" t="n">
        <f aca="false">L58-(E20*0.08/1000/$C$7)</f>
        <v>-0.3932284</v>
      </c>
      <c r="M61" s="39" t="n">
        <f aca="false">M58-(F20*0.08/1000/$C$7)</f>
        <v>1.5132476</v>
      </c>
    </row>
    <row r="62" customFormat="false" ht="15" hidden="false" customHeight="false" outlineLevel="0" collapsed="false">
      <c r="H62" s="40" t="s">
        <v>76</v>
      </c>
      <c r="I62" s="41" t="e">
        <f aca="false">I25/B7/1000</f>
        <v>#VALUE!</v>
      </c>
      <c r="J62" s="41" t="e">
        <f aca="false">J25/C7/1000</f>
        <v>#VALUE!</v>
      </c>
      <c r="K62" s="41" t="n">
        <f aca="false">K25/C7/1000</f>
        <v>3.15</v>
      </c>
      <c r="L62" s="41" t="n">
        <v>5.8</v>
      </c>
      <c r="M62" s="41" t="n">
        <v>5.17</v>
      </c>
    </row>
    <row r="63" customFormat="false" ht="15" hidden="false" customHeight="false" outlineLevel="0" collapsed="false">
      <c r="A63" s="2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0.755779566130161</v>
      </c>
      <c r="K74" s="6" t="n">
        <f aca="false">K59*$C$7/$C$5</f>
        <v>0.753175880569163</v>
      </c>
      <c r="L74" s="6" t="n">
        <f aca="false">L59*$C$7/$C$5</f>
        <v>0.674754606951248</v>
      </c>
      <c r="M74" s="6" t="n">
        <f aca="false">M59*$C$7/$C$5</f>
        <v>0.688407511080009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0.153680945343137</v>
      </c>
      <c r="K77" s="28" t="n">
        <f aca="false">(K15-K16)/$C$6</f>
        <v>0.162344134272014</v>
      </c>
      <c r="L77" s="28" t="n">
        <f aca="false">(L15-L16)/$C$6</f>
        <v>0.126740535267254</v>
      </c>
      <c r="M77" s="28" t="n">
        <f aca="false">(M15-M16)/$C$6</f>
        <v>0.124861541309782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1" sqref="N10:Q10 G1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5110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IFERROR(__xludf.dummyfunction("GoogleFinance(""TADAWUL:""&amp;B1,""eps"")"),"2.42")</f>
        <v>2.42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IFERROR(__xludf.dummyfunction("GoogleFinance(""TADAWUL:""&amp;B1,""marketcap"")/1000"),"101,750,840.75")</f>
        <v>101,750,840.75</v>
      </c>
      <c r="C5" s="6" t="n">
        <f aca="false">H11/1000/B7</f>
        <v>11.959819936924</v>
      </c>
      <c r="D5" s="6" t="n">
        <f aca="false">100/C5</f>
        <v>8.36132989688801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441475846.75</v>
      </c>
      <c r="C6" s="28" t="n">
        <f aca="false">H20/B6</f>
        <v>0.00476715547519362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IFERROR(__xludf.dummyfunction("GoogleFinance(""TADAWUL:""&amp;B1,""shares"")/1000000"),"4173.5375")</f>
        <v>4173.5375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37790249</v>
      </c>
      <c r="C11" s="11" t="n">
        <v>31392507</v>
      </c>
      <c r="D11" s="11" t="n">
        <v>32355286</v>
      </c>
      <c r="E11" s="11" t="n">
        <v>29160083</v>
      </c>
      <c r="G11" s="10" t="s">
        <v>7</v>
      </c>
      <c r="H11" s="11" t="n">
        <v>49914757</v>
      </c>
      <c r="I11" s="11" t="n">
        <v>41538732</v>
      </c>
      <c r="J11" s="11" t="n">
        <v>38490670</v>
      </c>
      <c r="K11" s="11" t="n">
        <v>35672129</v>
      </c>
      <c r="M11" s="10" t="s">
        <v>8</v>
      </c>
      <c r="N11" s="11" t="n">
        <v>2104584</v>
      </c>
      <c r="O11" s="11" t="n">
        <v>1543642</v>
      </c>
      <c r="P11" s="11" t="n">
        <v>3606594</v>
      </c>
      <c r="Q11" s="11" t="n">
        <v>3035869</v>
      </c>
    </row>
    <row r="12" customFormat="false" ht="15" hidden="false" customHeight="false" outlineLevel="0" collapsed="false">
      <c r="A12" s="10" t="s">
        <v>9</v>
      </c>
      <c r="B12" s="11" t="n">
        <v>6930273</v>
      </c>
      <c r="C12" s="11" t="n">
        <v>6495066</v>
      </c>
      <c r="D12" s="11" t="n">
        <v>6602409</v>
      </c>
      <c r="E12" s="11" t="n">
        <v>6638256</v>
      </c>
      <c r="G12" s="10" t="s">
        <v>10</v>
      </c>
      <c r="H12" s="11" t="n">
        <v>46907873</v>
      </c>
      <c r="I12" s="11" t="n">
        <v>38953467</v>
      </c>
      <c r="J12" s="11" t="n">
        <v>36462927</v>
      </c>
      <c r="K12" s="11" t="n">
        <v>33123441</v>
      </c>
      <c r="M12" s="10" t="s">
        <v>11</v>
      </c>
      <c r="N12" s="11" t="n">
        <v>17365791</v>
      </c>
      <c r="O12" s="11" t="n">
        <v>14933508</v>
      </c>
      <c r="P12" s="11" t="n">
        <v>13559970</v>
      </c>
      <c r="Q12" s="11" t="n">
        <v>11730666</v>
      </c>
    </row>
    <row r="13" customFormat="false" ht="15" hidden="false" customHeight="false" outlineLevel="0" collapsed="false">
      <c r="A13" s="10" t="s">
        <v>12</v>
      </c>
      <c r="B13" s="11" t="n">
        <v>3674338</v>
      </c>
      <c r="C13" s="11" t="n">
        <v>4432372</v>
      </c>
      <c r="D13" s="11" t="n">
        <v>4503355</v>
      </c>
      <c r="E13" s="11" t="n">
        <v>3244657</v>
      </c>
      <c r="G13" s="10" t="s">
        <v>13</v>
      </c>
      <c r="H13" s="11" t="n">
        <v>3006884</v>
      </c>
      <c r="I13" s="11" t="n">
        <v>2585265</v>
      </c>
      <c r="J13" s="11" t="n">
        <v>2027743</v>
      </c>
      <c r="K13" s="11" t="n">
        <v>2548688</v>
      </c>
      <c r="M13" s="10" t="s">
        <v>14</v>
      </c>
      <c r="N13" s="13" t="n">
        <v>-8716503</v>
      </c>
      <c r="O13" s="13" t="n">
        <v>-4905068</v>
      </c>
      <c r="P13" s="11" t="n">
        <v>5243150</v>
      </c>
      <c r="Q13" s="13" t="n">
        <v>-5156064</v>
      </c>
    </row>
    <row r="14" customFormat="false" ht="15" hidden="false" customHeight="false" outlineLevel="0" collapsed="false">
      <c r="A14" s="10" t="s">
        <v>15</v>
      </c>
      <c r="B14" s="11" t="n">
        <v>354575915</v>
      </c>
      <c r="C14" s="11" t="n">
        <v>315710004</v>
      </c>
      <c r="D14" s="11" t="n">
        <v>274447143</v>
      </c>
      <c r="E14" s="11" t="n">
        <v>237744648</v>
      </c>
      <c r="G14" s="10" t="s">
        <v>16</v>
      </c>
      <c r="H14" s="11" t="n">
        <v>191989</v>
      </c>
      <c r="I14" s="11" t="n">
        <v>201513</v>
      </c>
      <c r="J14" s="11" t="n">
        <v>3045585</v>
      </c>
      <c r="K14" s="11" t="n">
        <v>1147760</v>
      </c>
      <c r="M14" s="10" t="s">
        <v>9</v>
      </c>
      <c r="N14" s="13" t="n">
        <v>-435206</v>
      </c>
      <c r="O14" s="11" t="n">
        <v>107343</v>
      </c>
      <c r="P14" s="11" t="n">
        <v>35847</v>
      </c>
      <c r="Q14" s="13" t="n">
        <v>-816783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G15" s="10" t="s">
        <v>18</v>
      </c>
      <c r="H15" s="11" t="n">
        <v>3198873</v>
      </c>
      <c r="I15" s="11" t="n">
        <v>2786778</v>
      </c>
      <c r="J15" s="11" t="n">
        <v>5073328</v>
      </c>
      <c r="K15" s="11" t="n">
        <v>3696448</v>
      </c>
      <c r="M15" s="10" t="s">
        <v>19</v>
      </c>
      <c r="N15" s="11" t="n">
        <v>1421670</v>
      </c>
      <c r="O15" s="11" t="n">
        <v>726210</v>
      </c>
      <c r="P15" s="13" t="n">
        <v>-2851808</v>
      </c>
      <c r="Q15" s="13" t="n">
        <v>-1302847</v>
      </c>
    </row>
    <row r="16" customFormat="false" ht="15" hidden="false" customHeight="false" outlineLevel="0" collapsed="false">
      <c r="A16" s="10" t="s">
        <v>20</v>
      </c>
      <c r="B16" s="11" t="n">
        <v>402970775</v>
      </c>
      <c r="C16" s="11" t="n">
        <v>358029949</v>
      </c>
      <c r="D16" s="11" t="n">
        <v>317908193</v>
      </c>
      <c r="E16" s="11" t="n">
        <v>276787644</v>
      </c>
      <c r="G16" s="10" t="s">
        <v>21</v>
      </c>
      <c r="H16" s="11" t="n">
        <v>532429</v>
      </c>
      <c r="I16" s="11" t="n">
        <v>607762</v>
      </c>
      <c r="J16" s="11" t="n">
        <v>589340</v>
      </c>
      <c r="K16" s="11" t="n">
        <v>370329</v>
      </c>
      <c r="M16" s="10" t="s">
        <v>22</v>
      </c>
      <c r="N16" s="11" t="n">
        <v>13874822</v>
      </c>
      <c r="O16" s="11" t="n">
        <v>14636133</v>
      </c>
      <c r="P16" s="11" t="n">
        <v>11760006</v>
      </c>
      <c r="Q16" s="13" t="n">
        <v>-6528651</v>
      </c>
    </row>
    <row r="17" customFormat="false" ht="15" hidden="false" customHeight="false" outlineLevel="0" collapsed="false">
      <c r="A17" s="10" t="s">
        <v>23</v>
      </c>
      <c r="B17" s="11" t="n">
        <v>94703587</v>
      </c>
      <c r="C17" s="11" t="n">
        <v>62691531</v>
      </c>
      <c r="D17" s="11" t="n">
        <v>46949382</v>
      </c>
      <c r="E17" s="11" t="n">
        <v>41743868</v>
      </c>
      <c r="G17" s="10" t="s">
        <v>11</v>
      </c>
      <c r="H17" s="11" t="n">
        <v>451603</v>
      </c>
      <c r="I17" s="11" t="n">
        <v>384659</v>
      </c>
      <c r="J17" s="11" t="n">
        <v>340155</v>
      </c>
      <c r="K17" s="11" t="n">
        <v>290250</v>
      </c>
      <c r="M17" s="10" t="s">
        <v>24</v>
      </c>
      <c r="N17" s="11" t="n">
        <v>6102169</v>
      </c>
      <c r="O17" s="11" t="n">
        <v>3938009</v>
      </c>
      <c r="P17" s="13" t="n">
        <v>-272719</v>
      </c>
      <c r="Q17" s="11" t="n">
        <v>1823539</v>
      </c>
    </row>
    <row r="18" customFormat="false" ht="15" hidden="false" customHeight="false" outlineLevel="0" collapsed="false">
      <c r="A18" s="10" t="s">
        <v>25</v>
      </c>
      <c r="B18" s="11" t="n">
        <v>203832048</v>
      </c>
      <c r="C18" s="11" t="n">
        <v>194997809</v>
      </c>
      <c r="D18" s="11" t="n">
        <v>177955708</v>
      </c>
      <c r="E18" s="11" t="n">
        <v>150518696</v>
      </c>
      <c r="G18" s="10" t="s">
        <v>26</v>
      </c>
      <c r="H18" s="11" t="n">
        <v>110257</v>
      </c>
      <c r="I18" s="11" t="n">
        <v>250715</v>
      </c>
      <c r="J18" s="11" t="n">
        <v>537239</v>
      </c>
      <c r="K18" s="18" t="s">
        <v>84</v>
      </c>
      <c r="M18" s="10" t="s">
        <v>27</v>
      </c>
      <c r="N18" s="13" t="n">
        <v>-56263952</v>
      </c>
      <c r="O18" s="13" t="n">
        <v>-56207458</v>
      </c>
      <c r="P18" s="13" t="n">
        <v>-50311822</v>
      </c>
      <c r="Q18" s="13" t="n">
        <v>-40937537</v>
      </c>
    </row>
    <row r="19" customFormat="false" ht="15" hidden="false" customHeight="false" outlineLevel="0" collapsed="false">
      <c r="A19" s="10" t="s">
        <v>28</v>
      </c>
      <c r="B19" s="11" t="n">
        <v>42411517</v>
      </c>
      <c r="C19" s="11" t="n">
        <v>39991482</v>
      </c>
      <c r="D19" s="11" t="n">
        <v>33760607</v>
      </c>
      <c r="E19" s="11" t="n">
        <v>28248767</v>
      </c>
      <c r="G19" s="10" t="s">
        <v>29</v>
      </c>
      <c r="H19" s="11" t="n">
        <v>1094289</v>
      </c>
      <c r="I19" s="11" t="n">
        <v>1243136</v>
      </c>
      <c r="J19" s="11" t="n">
        <v>1466734</v>
      </c>
      <c r="K19" s="11" t="n">
        <v>660579</v>
      </c>
      <c r="M19" s="10" t="s">
        <v>30</v>
      </c>
      <c r="N19" s="11" t="n">
        <v>286110</v>
      </c>
      <c r="O19" s="11" t="n">
        <v>174485</v>
      </c>
      <c r="P19" s="13" t="n">
        <v>-1152541</v>
      </c>
      <c r="Q19" s="13" t="n">
        <v>-701536</v>
      </c>
    </row>
    <row r="20" customFormat="false" ht="15" hidden="false" customHeight="false" outlineLevel="0" collapsed="false">
      <c r="A20" s="10" t="s">
        <v>31</v>
      </c>
      <c r="B20" s="11" t="n">
        <v>62023623</v>
      </c>
      <c r="C20" s="11" t="n">
        <v>60349127</v>
      </c>
      <c r="D20" s="11" t="n">
        <v>59242496</v>
      </c>
      <c r="E20" s="11" t="n">
        <v>56276313</v>
      </c>
      <c r="G20" s="10" t="s">
        <v>32</v>
      </c>
      <c r="H20" s="11" t="n">
        <v>2104584</v>
      </c>
      <c r="I20" s="11" t="n">
        <v>1543642</v>
      </c>
      <c r="J20" s="11" t="n">
        <v>3606594</v>
      </c>
      <c r="K20" s="11" t="n">
        <v>3035869</v>
      </c>
      <c r="M20" s="10" t="s">
        <v>33</v>
      </c>
      <c r="N20" s="11" t="n">
        <v>23980661</v>
      </c>
      <c r="O20" s="11" t="n">
        <v>20679687</v>
      </c>
      <c r="P20" s="11" t="n">
        <v>23870144</v>
      </c>
      <c r="Q20" s="11" t="n">
        <v>32850394</v>
      </c>
    </row>
    <row r="21" customFormat="false" ht="15" hidden="false" customHeight="false" outlineLevel="0" collapsed="false">
      <c r="A21" s="10" t="s">
        <v>34</v>
      </c>
      <c r="B21" s="18" t="s">
        <v>84</v>
      </c>
      <c r="C21" s="15" t="s">
        <v>84</v>
      </c>
      <c r="D21" s="18" t="s">
        <v>84</v>
      </c>
      <c r="E21" s="15" t="s">
        <v>84</v>
      </c>
      <c r="G21" s="10" t="s">
        <v>35</v>
      </c>
      <c r="H21" s="18" t="s">
        <v>84</v>
      </c>
      <c r="I21" s="18" t="s">
        <v>84</v>
      </c>
      <c r="J21" s="18" t="s">
        <v>84</v>
      </c>
      <c r="K21" s="18" t="s">
        <v>84</v>
      </c>
      <c r="M21" s="10" t="s">
        <v>36</v>
      </c>
      <c r="N21" s="13" t="n">
        <v>-536229</v>
      </c>
      <c r="O21" s="13" t="n">
        <v>-531769</v>
      </c>
      <c r="P21" s="13" t="n">
        <v>-530456</v>
      </c>
      <c r="Q21" s="11" t="n">
        <v>6949306</v>
      </c>
    </row>
    <row r="22" customFormat="false" ht="15" hidden="false" customHeight="false" outlineLevel="0" collapsed="false">
      <c r="A22" s="10" t="s">
        <v>37</v>
      </c>
      <c r="B22" s="11" t="n">
        <v>402970775</v>
      </c>
      <c r="C22" s="11" t="n">
        <v>358029949</v>
      </c>
      <c r="D22" s="11" t="n">
        <v>317908193</v>
      </c>
      <c r="E22" s="11" t="n">
        <v>276787644</v>
      </c>
      <c r="G22" s="10" t="s">
        <v>8</v>
      </c>
      <c r="H22" s="11" t="n">
        <v>2104584</v>
      </c>
      <c r="I22" s="11" t="n">
        <v>1543642</v>
      </c>
      <c r="J22" s="11" t="n">
        <v>3606594</v>
      </c>
      <c r="K22" s="11" t="n">
        <v>3035869</v>
      </c>
      <c r="M22" s="10" t="s">
        <v>38</v>
      </c>
      <c r="N22" s="11" t="n">
        <v>2038229</v>
      </c>
      <c r="O22" s="11" t="n">
        <v>6943507</v>
      </c>
      <c r="P22" s="11" t="n">
        <v>3987142</v>
      </c>
      <c r="Q22" s="11" t="n">
        <v>3045786</v>
      </c>
    </row>
    <row r="23" customFormat="false" ht="15" hidden="false" customHeight="false" outlineLevel="0" collapsed="false">
      <c r="A23" s="6"/>
      <c r="B23" s="4" t="n">
        <f aca="false">B11+B12</f>
        <v>44720522</v>
      </c>
      <c r="C23" s="4" t="n">
        <f aca="false">C11+C12</f>
        <v>37887573</v>
      </c>
      <c r="D23" s="4" t="n">
        <f aca="false">D11+D12</f>
        <v>38957695</v>
      </c>
      <c r="E23" s="4" t="n">
        <f aca="false">E11+E12</f>
        <v>35798339</v>
      </c>
      <c r="G23" s="10" t="s">
        <v>39</v>
      </c>
      <c r="H23" s="18" t="s">
        <v>84</v>
      </c>
      <c r="I23" s="11" t="n">
        <v>15205107</v>
      </c>
      <c r="J23" s="11" t="n">
        <v>12507288</v>
      </c>
      <c r="K23" s="11" t="n">
        <v>10323177</v>
      </c>
      <c r="M23" s="10" t="s">
        <v>40</v>
      </c>
      <c r="N23" s="11" t="n">
        <v>1222146</v>
      </c>
      <c r="O23" s="11" t="n">
        <v>2038229</v>
      </c>
      <c r="P23" s="11" t="n">
        <v>6943507</v>
      </c>
      <c r="Q23" s="11" t="n">
        <v>3992142</v>
      </c>
    </row>
    <row r="24" customFormat="false" ht="15" hidden="false" customHeight="false" outlineLevel="0" collapsed="false">
      <c r="A24" s="6"/>
      <c r="B24" s="6" t="n">
        <f aca="false">B16/(B22-B20)</f>
        <v>1.18191565066952</v>
      </c>
      <c r="C24" s="6" t="n">
        <f aca="false">C16/(C22-C20)</f>
        <v>1.20273098748699</v>
      </c>
      <c r="D24" s="6" t="n">
        <f aca="false">D16/(D22-D20)</f>
        <v>1.22903112661282</v>
      </c>
      <c r="E24" s="6" t="n">
        <f aca="false">E16/(E22-E20)</f>
        <v>1.25520825957012</v>
      </c>
      <c r="G24" s="10" t="s">
        <v>41</v>
      </c>
      <c r="H24" s="18" t="s">
        <v>84</v>
      </c>
      <c r="I24" s="11" t="n">
        <v>154364</v>
      </c>
      <c r="J24" s="11" t="n">
        <v>360660</v>
      </c>
      <c r="K24" s="11" t="n">
        <v>303587</v>
      </c>
      <c r="M24" s="2" t="s">
        <v>42</v>
      </c>
      <c r="N24" s="12" t="n">
        <f aca="false">SUM(N11:N17)</f>
        <v>31717327</v>
      </c>
      <c r="O24" s="12" t="n">
        <f aca="false">SUM(O11:O17)</f>
        <v>30979777</v>
      </c>
      <c r="P24" s="12" t="n">
        <f aca="false">SUM(P11:P17)</f>
        <v>31081040</v>
      </c>
      <c r="Q24" s="12" t="n">
        <f aca="false">SUM(Q11:Q17)</f>
        <v>2785729</v>
      </c>
    </row>
    <row r="25" customFormat="false" ht="15" hidden="false" customHeight="false" outlineLevel="0" collapsed="false">
      <c r="A25" s="6"/>
      <c r="B25" s="6" t="n">
        <f aca="false">B24/B5*1000</f>
        <v>1.16157826506168E-005</v>
      </c>
      <c r="G25" s="10" t="s">
        <v>43</v>
      </c>
      <c r="H25" s="18" t="s">
        <v>84</v>
      </c>
      <c r="I25" s="11" t="n">
        <v>547252</v>
      </c>
      <c r="J25" s="11" t="n">
        <v>547252</v>
      </c>
      <c r="K25" s="11" t="n">
        <v>547252</v>
      </c>
      <c r="M25" s="2" t="s">
        <v>44</v>
      </c>
      <c r="N25" s="12" t="n">
        <f aca="false">N18+N19</f>
        <v>-55977842</v>
      </c>
      <c r="O25" s="12" t="n">
        <f aca="false">O18+O19</f>
        <v>-56032973</v>
      </c>
      <c r="P25" s="12" t="n">
        <f aca="false">P18+P19</f>
        <v>-51464363</v>
      </c>
      <c r="Q25" s="12" t="n">
        <f aca="false">Q18+Q19</f>
        <v>-41639073</v>
      </c>
    </row>
    <row r="26" customFormat="false" ht="15" hidden="false" customHeight="false" outlineLevel="0" collapsed="false">
      <c r="A26" s="6"/>
      <c r="B26" s="4" t="n">
        <f aca="false">B23-B17</f>
        <v>-49983065</v>
      </c>
      <c r="C26" s="4" t="n">
        <f aca="false">C23-C17</f>
        <v>-24803958</v>
      </c>
      <c r="G26" s="10" t="s">
        <v>45</v>
      </c>
      <c r="H26" s="18" t="s">
        <v>84</v>
      </c>
      <c r="I26" s="11" t="n">
        <v>866</v>
      </c>
      <c r="J26" s="11" t="n">
        <v>863</v>
      </c>
      <c r="K26" s="11" t="n">
        <v>919</v>
      </c>
      <c r="M26" s="2" t="s">
        <v>46</v>
      </c>
      <c r="N26" s="12" t="n">
        <f aca="false">N20+N21</f>
        <v>23444432</v>
      </c>
      <c r="O26" s="12" t="n">
        <f aca="false">O20+O21</f>
        <v>20147918</v>
      </c>
      <c r="P26" s="12" t="n">
        <f aca="false">P20+P21</f>
        <v>23339688</v>
      </c>
      <c r="Q26" s="12" t="n">
        <f aca="false">Q20+Q21</f>
        <v>39799700</v>
      </c>
    </row>
    <row r="27" customFormat="false" ht="15" hidden="false" customHeight="false" outlineLevel="0" collapsed="false">
      <c r="A27" s="6"/>
      <c r="B27" s="6" t="n">
        <f aca="false">B22/90000</f>
        <v>4477.45305555556</v>
      </c>
      <c r="F27" s="6" t="n">
        <f aca="false">H20*0.025</f>
        <v>52614.6</v>
      </c>
      <c r="G27" s="10" t="s">
        <v>47</v>
      </c>
      <c r="H27" s="18" t="s">
        <v>84</v>
      </c>
      <c r="I27" s="11" t="n">
        <v>16046267</v>
      </c>
      <c r="J27" s="11" t="n">
        <v>15205107</v>
      </c>
      <c r="K27" s="11" t="n">
        <v>12507288</v>
      </c>
      <c r="M27" s="2" t="s">
        <v>115</v>
      </c>
      <c r="N27" s="12" t="n">
        <f aca="false">N24+N18</f>
        <v>-24546625</v>
      </c>
      <c r="O27" s="12" t="n">
        <f aca="false">O24+O18</f>
        <v>-25227681</v>
      </c>
      <c r="P27" s="12" t="n">
        <f aca="false">P24+P18</f>
        <v>-19230782</v>
      </c>
      <c r="Q27" s="12" t="n">
        <f aca="false">Q24+Q18</f>
        <v>-38151808</v>
      </c>
    </row>
    <row r="28" customFormat="false" ht="15" hidden="false" customHeight="false" outlineLevel="0" collapsed="false">
      <c r="A28" s="6"/>
      <c r="G28" s="6"/>
      <c r="M28" s="2" t="s">
        <v>116</v>
      </c>
      <c r="N28" s="12" t="n">
        <f aca="false">(C11-B11)+(B17-C17)</f>
        <v>25614314</v>
      </c>
      <c r="O28" s="12" t="n">
        <f aca="false">(D11-C11)+(C17-D17)</f>
        <v>16704928</v>
      </c>
      <c r="P28" s="12" t="n">
        <f aca="false">(E11-D11)+(D17-E17)</f>
        <v>2010311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0.093779130757063</v>
      </c>
      <c r="C30" s="24" t="n">
        <f aca="false">C11/C$16</f>
        <v>0.0876812319407391</v>
      </c>
      <c r="D30" s="24" t="n">
        <f aca="false">D11/D$16</f>
        <v>0.101775565123608</v>
      </c>
      <c r="E30" s="24" t="n">
        <f aca="false">E11/E$16</f>
        <v>0.105351823436165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0.0421635629719684</v>
      </c>
      <c r="O30" s="26" t="n">
        <f aca="false">O11/I$11</f>
        <v>0.0371615098891319</v>
      </c>
      <c r="P30" s="26" t="n">
        <f aca="false">P11/J$11</f>
        <v>0.0937004733874469</v>
      </c>
      <c r="Q30" s="26" t="n">
        <f aca="false">Q11/K$11</f>
        <v>0.0851047886712901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0.0171979543677826</v>
      </c>
      <c r="C31" s="24" t="n">
        <f aca="false">C12/C$16</f>
        <v>0.0181411248364589</v>
      </c>
      <c r="D31" s="24" t="n">
        <f aca="false">D12/D$16</f>
        <v>0.0207682882837813</v>
      </c>
      <c r="E31" s="24" t="n">
        <f aca="false">E12/E$16</f>
        <v>0.0239832093082883</v>
      </c>
      <c r="F31" s="6"/>
      <c r="G31" s="25" t="s">
        <v>10</v>
      </c>
      <c r="H31" s="24" t="n">
        <f aca="false">H12/H$11</f>
        <v>0.939759618583338</v>
      </c>
      <c r="I31" s="24" t="n">
        <f aca="false">I12/I$11</f>
        <v>0.937762544123879</v>
      </c>
      <c r="J31" s="24" t="n">
        <f aca="false">J12/J$11</f>
        <v>0.947318583958138</v>
      </c>
      <c r="K31" s="24" t="n">
        <f aca="false">K12/K$11</f>
        <v>0.928552400110462</v>
      </c>
      <c r="L31" s="6"/>
      <c r="M31" s="25" t="s">
        <v>11</v>
      </c>
      <c r="N31" s="26" t="n">
        <f aca="false">N12/H$11</f>
        <v>0.347908956062833</v>
      </c>
      <c r="O31" s="26" t="n">
        <f aca="false">O12/I$11</f>
        <v>0.359508036981004</v>
      </c>
      <c r="P31" s="26" t="n">
        <f aca="false">P12/J$11</f>
        <v>0.352292386700465</v>
      </c>
      <c r="Q31" s="26" t="n">
        <f aca="false">Q12/K$11</f>
        <v>0.328846814834068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0.00911812525362416</v>
      </c>
      <c r="C32" s="24" t="n">
        <f aca="false">C13/C$16</f>
        <v>0.0123798917168239</v>
      </c>
      <c r="D32" s="24" t="n">
        <f aca="false">D13/D$16</f>
        <v>0.0141655833324182</v>
      </c>
      <c r="E32" s="24" t="n">
        <f aca="false">E13/E$16</f>
        <v>0.0117225500138294</v>
      </c>
      <c r="F32" s="6"/>
      <c r="G32" s="25" t="s">
        <v>13</v>
      </c>
      <c r="H32" s="24" t="n">
        <f aca="false">H13/H$11</f>
        <v>0.060240381416662</v>
      </c>
      <c r="I32" s="24" t="n">
        <f aca="false">I13/I$11</f>
        <v>0.0622374558761206</v>
      </c>
      <c r="J32" s="24" t="n">
        <f aca="false">J13/J$11</f>
        <v>0.0526814160418616</v>
      </c>
      <c r="K32" s="24" t="n">
        <f aca="false">K13/K$11</f>
        <v>0.0714475998895384</v>
      </c>
      <c r="L32" s="6"/>
      <c r="M32" s="25" t="s">
        <v>14</v>
      </c>
      <c r="N32" s="26" t="n">
        <f aca="false">N13/H$11</f>
        <v>-0.174627775910038</v>
      </c>
      <c r="O32" s="26" t="n">
        <f aca="false">O13/I$11</f>
        <v>-0.118084201511014</v>
      </c>
      <c r="P32" s="26" t="n">
        <f aca="false">P13/J$11</f>
        <v>0.136218725213149</v>
      </c>
      <c r="Q32" s="26" t="n">
        <f aca="false">Q13/K$11</f>
        <v>-0.144540405760475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0.87990478962153</v>
      </c>
      <c r="C33" s="24" t="n">
        <f aca="false">C14/C$16</f>
        <v>0.881797751505978</v>
      </c>
      <c r="D33" s="24" t="n">
        <f aca="false">D14/D$16</f>
        <v>0.863290563260192</v>
      </c>
      <c r="E33" s="24" t="n">
        <f aca="false">E14/E$16</f>
        <v>0.858942417241718</v>
      </c>
      <c r="F33" s="6"/>
      <c r="G33" s="25" t="s">
        <v>16</v>
      </c>
      <c r="H33" s="24" t="n">
        <f aca="false">H14/H$11</f>
        <v>0.00384633746689381</v>
      </c>
      <c r="I33" s="24" t="n">
        <f aca="false">I14/I$11</f>
        <v>0.00485120730213912</v>
      </c>
      <c r="J33" s="24" t="n">
        <f aca="false">J14/J$11</f>
        <v>0.0791252789312319</v>
      </c>
      <c r="K33" s="24" t="n">
        <f aca="false">K14/K$11</f>
        <v>0.0321752592899628</v>
      </c>
      <c r="L33" s="6"/>
      <c r="M33" s="25" t="s">
        <v>9</v>
      </c>
      <c r="N33" s="26" t="n">
        <f aca="false">N14/H$11</f>
        <v>-0.00871898464816727</v>
      </c>
      <c r="O33" s="26" t="n">
        <f aca="false">O14/I$11</f>
        <v>0.00258416650753807</v>
      </c>
      <c r="P33" s="26" t="n">
        <f aca="false">P14/J$11</f>
        <v>0.000931316602179177</v>
      </c>
      <c r="Q33" s="26" t="n">
        <f aca="false">Q14/K$11</f>
        <v>-0.0228969512865352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6"/>
      <c r="G34" s="25" t="s">
        <v>18</v>
      </c>
      <c r="H34" s="24" t="n">
        <f aca="false">H15/H$11</f>
        <v>0.0640867188835558</v>
      </c>
      <c r="I34" s="24" t="n">
        <f aca="false">I15/I$11</f>
        <v>0.0670886631782598</v>
      </c>
      <c r="J34" s="24" t="n">
        <f aca="false">J15/J$11</f>
        <v>0.131806694973093</v>
      </c>
      <c r="K34" s="24" t="n">
        <f aca="false">K15/K$11</f>
        <v>0.103622859179501</v>
      </c>
      <c r="L34" s="6"/>
      <c r="M34" s="25" t="s">
        <v>19</v>
      </c>
      <c r="N34" s="26" t="n">
        <f aca="false">N15/H$11</f>
        <v>0.0284819577504905</v>
      </c>
      <c r="O34" s="26" t="n">
        <f aca="false">O15/I$11</f>
        <v>0.0174827195014041</v>
      </c>
      <c r="P34" s="26" t="n">
        <f aca="false">P15/J$11</f>
        <v>-0.0740908900780371</v>
      </c>
      <c r="Q34" s="26" t="n">
        <f aca="false">Q15/K$11</f>
        <v>-0.036522827106843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0.0106667653415602</v>
      </c>
      <c r="I35" s="24" t="n">
        <f aca="false">I16/I$11</f>
        <v>0.0146312121419595</v>
      </c>
      <c r="J35" s="24" t="n">
        <f aca="false">J16/J$11</f>
        <v>0.0153112429583585</v>
      </c>
      <c r="K35" s="24" t="n">
        <f aca="false">K16/K$11</f>
        <v>0.0103814661580754</v>
      </c>
      <c r="L35" s="6"/>
      <c r="M35" s="25" t="s">
        <v>22</v>
      </c>
      <c r="N35" s="26" t="n">
        <f aca="false">N16/H$11</f>
        <v>0.27797034051473</v>
      </c>
      <c r="O35" s="26" t="n">
        <f aca="false">O16/I$11</f>
        <v>0.352349055816148</v>
      </c>
      <c r="P35" s="26" t="n">
        <f aca="false">P16/J$11</f>
        <v>0.305528742419916</v>
      </c>
      <c r="Q35" s="26" t="n">
        <f aca="false">Q16/K$11</f>
        <v>-0.183018260558544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0.235013536651634</v>
      </c>
      <c r="C36" s="24" t="n">
        <f aca="false">C17/C$16</f>
        <v>0.175101360026169</v>
      </c>
      <c r="D36" s="24" t="n">
        <f aca="false">D17/D$16</f>
        <v>0.147682202075239</v>
      </c>
      <c r="E36" s="24" t="n">
        <f aca="false">E17/E$16</f>
        <v>0.150815503888606</v>
      </c>
      <c r="F36" s="6"/>
      <c r="G36" s="25" t="s">
        <v>11</v>
      </c>
      <c r="H36" s="24" t="n">
        <f aca="false">H17/H$11</f>
        <v>0.0090474846947567</v>
      </c>
      <c r="I36" s="24" t="n">
        <f aca="false">I17/I$11</f>
        <v>0.00926024896474933</v>
      </c>
      <c r="J36" s="24" t="n">
        <f aca="false">J17/J$11</f>
        <v>0.00883733642464525</v>
      </c>
      <c r="K36" s="24" t="n">
        <f aca="false">K17/K$11</f>
        <v>0.00813660435013565</v>
      </c>
      <c r="L36" s="6"/>
      <c r="M36" s="25" t="s">
        <v>24</v>
      </c>
      <c r="N36" s="26" t="n">
        <f aca="false">N17/H$11</f>
        <v>0.122251802207511</v>
      </c>
      <c r="O36" s="26" t="n">
        <f aca="false">O17/I$11</f>
        <v>0.0948033030955302</v>
      </c>
      <c r="P36" s="26" t="n">
        <f aca="false">P17/J$11</f>
        <v>-0.00708532743129699</v>
      </c>
      <c r="Q36" s="26" t="n">
        <f aca="false">Q17/K$11</f>
        <v>0.0511194327650026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0.505823401213153</v>
      </c>
      <c r="C37" s="24" t="n">
        <f aca="false">C18/C$16</f>
        <v>0.544641054595128</v>
      </c>
      <c r="D37" s="24" t="n">
        <f aca="false">D18/D$16</f>
        <v>0.559770751174066</v>
      </c>
      <c r="E37" s="24" t="n">
        <f aca="false">E18/E$16</f>
        <v>0.543805690979472</v>
      </c>
      <c r="F37" s="6"/>
      <c r="G37" s="25" t="s">
        <v>26</v>
      </c>
      <c r="H37" s="24" t="n">
        <f aca="false">H18/H$11</f>
        <v>0.00220890587527051</v>
      </c>
      <c r="I37" s="24" t="n">
        <f aca="false">I18/I$11</f>
        <v>0.00603569218241905</v>
      </c>
      <c r="J37" s="24" t="n">
        <f aca="false">J18/J$11</f>
        <v>0.0139576422026429</v>
      </c>
      <c r="K37" s="24" t="e">
        <f aca="false">K18/K$11</f>
        <v>#VALUE!</v>
      </c>
      <c r="L37" s="6"/>
      <c r="M37" s="25" t="s">
        <v>27</v>
      </c>
      <c r="N37" s="26" t="n">
        <f aca="false">N18/H$11</f>
        <v>-1.12720075948682</v>
      </c>
      <c r="O37" s="26" t="n">
        <f aca="false">O18/I$11</f>
        <v>-1.35313369700356</v>
      </c>
      <c r="P37" s="26" t="n">
        <f aca="false">P18/J$11</f>
        <v>-1.30711733518798</v>
      </c>
      <c r="Q37" s="26" t="n">
        <f aca="false">Q18/K$11</f>
        <v>-1.14760565594501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0.105247128653436</v>
      </c>
      <c r="C38" s="24" t="n">
        <f aca="false">C19/C$16</f>
        <v>0.111698705964958</v>
      </c>
      <c r="D38" s="24" t="n">
        <f aca="false">D19/D$16</f>
        <v>0.106196089762304</v>
      </c>
      <c r="E38" s="24" t="n">
        <f aca="false">E19/E$16</f>
        <v>0.102059349874736</v>
      </c>
      <c r="F38" s="6"/>
      <c r="G38" s="25" t="s">
        <v>29</v>
      </c>
      <c r="H38" s="24" t="n">
        <f aca="false">H19/H$11</f>
        <v>0.0219231559115874</v>
      </c>
      <c r="I38" s="24" t="n">
        <f aca="false">I19/I$11</f>
        <v>0.0299271532891278</v>
      </c>
      <c r="J38" s="24" t="n">
        <f aca="false">J19/J$11</f>
        <v>0.0381062215856466</v>
      </c>
      <c r="K38" s="24" t="n">
        <f aca="false">K19/K$11</f>
        <v>0.018518070508211</v>
      </c>
      <c r="L38" s="6"/>
      <c r="M38" s="25" t="s">
        <v>30</v>
      </c>
      <c r="N38" s="26" t="n">
        <f aca="false">N19/H$11</f>
        <v>0.00573197221014218</v>
      </c>
      <c r="O38" s="26" t="n">
        <f aca="false">O19/I$11</f>
        <v>0.00420053746464866</v>
      </c>
      <c r="P38" s="26" t="n">
        <f aca="false">P19/J$11</f>
        <v>-0.0299433862803635</v>
      </c>
      <c r="Q38" s="26" t="n">
        <f aca="false">Q19/K$11</f>
        <v>-0.0196662217721852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0.153915933481777</v>
      </c>
      <c r="C39" s="24" t="n">
        <f aca="false">C20/C$16</f>
        <v>0.168558879413744</v>
      </c>
      <c r="D39" s="24" t="n">
        <f aca="false">D20/D$16</f>
        <v>0.186350956988391</v>
      </c>
      <c r="E39" s="24" t="n">
        <f aca="false">E20/E$16</f>
        <v>0.203319455257186</v>
      </c>
      <c r="F39" s="6"/>
      <c r="G39" s="25" t="s">
        <v>32</v>
      </c>
      <c r="H39" s="24" t="n">
        <f aca="false">H20/H$11</f>
        <v>0.0421635629719684</v>
      </c>
      <c r="I39" s="24" t="n">
        <f aca="false">I20/I$11</f>
        <v>0.0371615098891319</v>
      </c>
      <c r="J39" s="24" t="n">
        <f aca="false">J20/J$11</f>
        <v>0.0937004733874469</v>
      </c>
      <c r="K39" s="24" t="n">
        <f aca="false">K20/K$11</f>
        <v>0.0851047886712901</v>
      </c>
      <c r="L39" s="6"/>
      <c r="M39" s="25" t="s">
        <v>33</v>
      </c>
      <c r="N39" s="26" t="n">
        <f aca="false">N20/H$11</f>
        <v>0.480432289793577</v>
      </c>
      <c r="O39" s="26" t="n">
        <f aca="false">O20/I$11</f>
        <v>0.497841075168111</v>
      </c>
      <c r="P39" s="26" t="n">
        <f aca="false">P20/J$11</f>
        <v>0.620154026936917</v>
      </c>
      <c r="Q39" s="26" t="n">
        <f aca="false">Q20/K$11</f>
        <v>0.92089804900627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6"/>
      <c r="G40" s="25" t="s">
        <v>35</v>
      </c>
      <c r="H40" s="24" t="e">
        <f aca="false">H21/H$11</f>
        <v>#VALUE!</v>
      </c>
      <c r="I40" s="24" t="e">
        <f aca="false">I21/I$11</f>
        <v>#VALUE!</v>
      </c>
      <c r="J40" s="24" t="e">
        <f aca="false">J21/J$11</f>
        <v>#VALUE!</v>
      </c>
      <c r="K40" s="24" t="e">
        <f aca="false">K21/K$11</f>
        <v>#VALUE!</v>
      </c>
      <c r="L40" s="6"/>
      <c r="M40" s="25" t="s">
        <v>36</v>
      </c>
      <c r="N40" s="26" t="n">
        <f aca="false">N21/H$11</f>
        <v>-0.0107428951321951</v>
      </c>
      <c r="O40" s="26" t="n">
        <f aca="false">O21/I$11</f>
        <v>-0.0128017629425954</v>
      </c>
      <c r="P40" s="26" t="n">
        <f aca="false">P21/J$11</f>
        <v>-0.0137814176786219</v>
      </c>
      <c r="Q40" s="26" t="n">
        <f aca="false">Q21/K$11</f>
        <v>0.194810520000082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0.0421635629719684</v>
      </c>
      <c r="I41" s="24" t="n">
        <f aca="false">I22/I$11</f>
        <v>0.0371615098891319</v>
      </c>
      <c r="J41" s="24" t="n">
        <f aca="false">J22/J$11</f>
        <v>0.0937004733874469</v>
      </c>
      <c r="K41" s="24" t="n">
        <f aca="false">K22/K$11</f>
        <v>0.0851047886712901</v>
      </c>
      <c r="L41" s="6"/>
      <c r="M41" s="25" t="s">
        <v>38</v>
      </c>
      <c r="N41" s="26" t="n">
        <f aca="false">N22/H$11</f>
        <v>0.0408341965883957</v>
      </c>
      <c r="O41" s="26" t="n">
        <f aca="false">O22/I$11</f>
        <v>0.16715741347136</v>
      </c>
      <c r="P41" s="26" t="n">
        <f aca="false">P22/J$11</f>
        <v>0.103587232958013</v>
      </c>
      <c r="Q41" s="26" t="n">
        <f aca="false">Q22/K$11</f>
        <v>0.085382792824056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e">
        <f aca="false">H23/H$11</f>
        <v>#VALUE!</v>
      </c>
      <c r="I42" s="24" t="n">
        <f aca="false">I23/I$11</f>
        <v>0.366046488852861</v>
      </c>
      <c r="J42" s="24" t="n">
        <f aca="false">J23/J$11</f>
        <v>0.324943369393154</v>
      </c>
      <c r="K42" s="24" t="n">
        <f aca="false">K23/K$11</f>
        <v>0.289390549131508</v>
      </c>
      <c r="L42" s="6"/>
      <c r="M42" s="25" t="s">
        <v>40</v>
      </c>
      <c r="N42" s="26" t="n">
        <f aca="false">N23/H$11</f>
        <v>0.0244846629224299</v>
      </c>
      <c r="O42" s="26" t="n">
        <f aca="false">O23/I$11</f>
        <v>0.0490681564377073</v>
      </c>
      <c r="P42" s="26" t="n">
        <f aca="false">P23/J$11</f>
        <v>0.180394547561786</v>
      </c>
      <c r="Q42" s="26" t="n">
        <f aca="false">Q23/K$11</f>
        <v>0.111912075671177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e">
        <f aca="false">H24/H$11</f>
        <v>#VALUE!</v>
      </c>
      <c r="I43" s="24" t="n">
        <f aca="false">I24/I$11</f>
        <v>0.00371614617412973</v>
      </c>
      <c r="J43" s="24" t="n">
        <f aca="false">J24/J$11</f>
        <v>0.00937006292693788</v>
      </c>
      <c r="K43" s="24" t="n">
        <f aca="false">K24/K$11</f>
        <v>0.00851048167043801</v>
      </c>
      <c r="L43" s="6"/>
      <c r="M43" s="2" t="s">
        <v>49</v>
      </c>
      <c r="N43" s="26" t="n">
        <f aca="false">N24/H11</f>
        <v>0.635429858949328</v>
      </c>
      <c r="O43" s="26" t="n">
        <f aca="false">O24/I11</f>
        <v>0.745804590279742</v>
      </c>
      <c r="P43" s="26" t="n">
        <f aca="false">P24/J11</f>
        <v>0.807495426813823</v>
      </c>
      <c r="Q43" s="26" t="n">
        <f aca="false">Q24/K11</f>
        <v>0.0780925915579639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e">
        <f aca="false">H25/H$11</f>
        <v>#VALUE!</v>
      </c>
      <c r="I44" s="24" t="n">
        <f aca="false">I25/I$11</f>
        <v>0.0131744994045557</v>
      </c>
      <c r="J44" s="24" t="n">
        <f aca="false">J25/J$11</f>
        <v>0.0142177831666739</v>
      </c>
      <c r="K44" s="24" t="n">
        <f aca="false">K25/K$11</f>
        <v>0.0153411645265131</v>
      </c>
      <c r="L44" s="6"/>
      <c r="M44" s="2" t="s">
        <v>50</v>
      </c>
      <c r="N44" s="26" t="n">
        <f aca="false">N24/B16</f>
        <v>0.0787087525143728</v>
      </c>
      <c r="O44" s="26" t="n">
        <f aca="false">O24/C16</f>
        <v>0.0865284512832752</v>
      </c>
      <c r="P44" s="26" t="n">
        <f aca="false">P24/D16</f>
        <v>0.0977673450523498</v>
      </c>
      <c r="Q44" s="26" t="n">
        <f aca="false">Q24/E16</f>
        <v>0.0100644991219333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e">
        <f aca="false">H26/H$11</f>
        <v>#VALUE!</v>
      </c>
      <c r="I45" s="24" t="n">
        <f aca="false">I26/I$11</f>
        <v>2.08480124044229E-005</v>
      </c>
      <c r="J45" s="24" t="n">
        <f aca="false">J26/J$11</f>
        <v>2.24210178726429E-005</v>
      </c>
      <c r="K45" s="24" t="n">
        <f aca="false">K26/K$11</f>
        <v>2.57624096391892E-005</v>
      </c>
      <c r="L45" s="6"/>
      <c r="M45" s="2" t="s">
        <v>51</v>
      </c>
      <c r="N45" s="26" t="n">
        <f aca="false">N24/B20</f>
        <v>0.511374948219326</v>
      </c>
      <c r="O45" s="26" t="n">
        <f aca="false">O24/C20</f>
        <v>0.513342587374959</v>
      </c>
      <c r="P45" s="26" t="n">
        <f aca="false">P24/D20</f>
        <v>0.524640960434888</v>
      </c>
      <c r="Q45" s="26" t="n">
        <f aca="false">Q24/E20</f>
        <v>0.0495009152429727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e">
        <f aca="false">H27/H$11</f>
        <v>#VALUE!</v>
      </c>
      <c r="I46" s="24" t="n">
        <f aca="false">I27/I$11</f>
        <v>0.386296505150904</v>
      </c>
      <c r="J46" s="24" t="n">
        <f aca="false">J27/J$11</f>
        <v>0.395033575669117</v>
      </c>
      <c r="K46" s="24" t="n">
        <f aca="false">K27/K$11</f>
        <v>0.350617929196208</v>
      </c>
      <c r="L46" s="6"/>
      <c r="M46" s="2" t="s">
        <v>52</v>
      </c>
      <c r="N46" s="26" t="n">
        <f aca="false">N24/H22</f>
        <v>15.0705920980108</v>
      </c>
      <c r="O46" s="26" t="n">
        <f aca="false">O24/I22</f>
        <v>20.0692757776738</v>
      </c>
      <c r="P46" s="26" t="n">
        <f aca="false">P24/J22</f>
        <v>8.61783721705299</v>
      </c>
      <c r="Q46" s="26" t="n">
        <f aca="false">Q24/K22</f>
        <v>0.917605140406256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0.0930271064414112</v>
      </c>
      <c r="O47" s="26" t="n">
        <f aca="false">O24/(C22-C20)</f>
        <v>0.104070449657654</v>
      </c>
      <c r="P47" s="26" t="n">
        <f aca="false">P24/(D22-D20)</f>
        <v>0.120159110235634</v>
      </c>
      <c r="Q47" s="26" t="n">
        <f aca="false">Q24/(E22-E20)</f>
        <v>0.0126330424262869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#VALUE!</v>
      </c>
      <c r="O48" s="26" t="n">
        <f aca="false">O24/I25</f>
        <v>56.6097099690819</v>
      </c>
      <c r="P48" s="26" t="n">
        <f aca="false">P24/J25</f>
        <v>56.7947490370067</v>
      </c>
      <c r="Q48" s="26" t="n">
        <f aca="false">Q24/K25</f>
        <v>5.09039528407388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0.563723767573241</v>
      </c>
      <c r="O49" s="26" t="n">
        <f aca="false">O24/(O18*-1)</f>
        <v>0.551168441027879</v>
      </c>
      <c r="P49" s="26" t="n">
        <f aca="false">P24/(P18*-1)</f>
        <v>0.61776812614737</v>
      </c>
      <c r="Q49" s="26" t="n">
        <f aca="false">Q24/(Q18*-1)</f>
        <v>0.0680482804815541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0.309973263468223</v>
      </c>
      <c r="I50" s="28" t="n">
        <f aca="false">LN(I15/J15)</f>
        <v>-0.599110922732976</v>
      </c>
      <c r="J50" s="28" t="n">
        <f aca="false">LN(J22/K22)</f>
        <v>0.172266126950609</v>
      </c>
      <c r="M50" s="2" t="s">
        <v>117</v>
      </c>
      <c r="N50" s="32" t="n">
        <f aca="false">(H15-H16-N28-N25)/($B$6)</f>
        <v>0.0748171666539762</v>
      </c>
      <c r="O50" s="32" t="n">
        <f aca="false">(I15-I16-O28-O25)/($B$6)</f>
        <v>0.0940188717130537</v>
      </c>
      <c r="P50" s="32" t="n">
        <f aca="false">(J15-J16-P28-P25)/($B$6)</f>
        <v>0.122176649973207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0.472215714490308</v>
      </c>
      <c r="C51" s="30" t="n">
        <f aca="false">C23/C17</f>
        <v>0.604349142470297</v>
      </c>
      <c r="D51" s="30" t="n">
        <f aca="false">D23/D17</f>
        <v>0.829780783908934</v>
      </c>
      <c r="E51" s="30" t="n">
        <f aca="false">E23/E17</f>
        <v>0.857571200637181</v>
      </c>
      <c r="G51" s="29" t="s">
        <v>58</v>
      </c>
      <c r="H51" s="63" t="n">
        <f aca="false">H13/H11</f>
        <v>0.060240381416662</v>
      </c>
      <c r="I51" s="63" t="n">
        <f aca="false">I13/I11</f>
        <v>0.0622374558761206</v>
      </c>
      <c r="J51" s="63" t="n">
        <f aca="false">J13/J11</f>
        <v>0.0526814160418616</v>
      </c>
      <c r="K51" s="63" t="n">
        <f aca="false">K13/K11</f>
        <v>0.0714475998895384</v>
      </c>
      <c r="M51" s="2" t="s">
        <v>59</v>
      </c>
      <c r="N51" s="32" t="n">
        <f aca="false">(N11-N24-N25)/B16</f>
        <v>0.0654268265484017</v>
      </c>
      <c r="O51" s="32" t="n">
        <f aca="false">(O11-O24-O25)/C16</f>
        <v>0.0742866290216409</v>
      </c>
      <c r="P51" s="32" t="n">
        <f aca="false">(P11-P24-P25)/D16</f>
        <v>0.0754617764758268</v>
      </c>
      <c r="Q51" s="32" t="n">
        <f aca="false">(Q11-Q24-Q25)/E16</f>
        <v>0.151340617646935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0.00522267154485335</v>
      </c>
      <c r="C52" s="31" t="n">
        <f aca="false">I20/C16</f>
        <v>0.00431148847830046</v>
      </c>
      <c r="D52" s="31" t="n">
        <f aca="false">J20/D16</f>
        <v>0.0113447658141984</v>
      </c>
      <c r="E52" s="31" t="n">
        <f aca="false">K20/E16</f>
        <v>0.0109682244341803</v>
      </c>
      <c r="F52" s="31"/>
      <c r="G52" s="29" t="s">
        <v>61</v>
      </c>
      <c r="H52" s="63" t="n">
        <f aca="false">H16/H11</f>
        <v>0.0106667653415602</v>
      </c>
      <c r="I52" s="63" t="n">
        <f aca="false">I16/I11</f>
        <v>0.0146312121419595</v>
      </c>
      <c r="J52" s="63" t="n">
        <f aca="false">J16/J11</f>
        <v>0.0153112429583585</v>
      </c>
      <c r="K52" s="63" t="n">
        <f aca="false">K16/K11</f>
        <v>0.0103814661580754</v>
      </c>
      <c r="M52" s="6"/>
      <c r="N52" s="4" t="n">
        <f aca="false">N24+N18</f>
        <v>-24546625</v>
      </c>
      <c r="O52" s="4" t="n">
        <f aca="false">O24+O18</f>
        <v>-25227681</v>
      </c>
      <c r="P52" s="4" t="n">
        <f aca="false">P24+P18</f>
        <v>-19230782</v>
      </c>
      <c r="Q52" s="4" t="n">
        <f aca="false">Q24+Q18</f>
        <v>-38151808</v>
      </c>
      <c r="R52" s="4" t="n">
        <f aca="false">AVERAGE(N52:Q52)</f>
        <v>-26789224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0.0339319745961954</v>
      </c>
      <c r="C53" s="31" t="n">
        <f aca="false">I20/C20</f>
        <v>0.0255785307383154</v>
      </c>
      <c r="D53" s="31" t="n">
        <f aca="false">J20/D20</f>
        <v>0.0608784950586822</v>
      </c>
      <c r="E53" s="31" t="n">
        <f aca="false">K20/E20</f>
        <v>0.0539457693328275</v>
      </c>
      <c r="G53" s="29" t="s">
        <v>11</v>
      </c>
      <c r="H53" s="71" t="n">
        <f aca="false">H17/H11</f>
        <v>0.0090474846947567</v>
      </c>
      <c r="I53" s="71" t="n">
        <f aca="false">I17/I11</f>
        <v>0.00926024896474933</v>
      </c>
      <c r="J53" s="71" t="n">
        <f aca="false">J17/J11</f>
        <v>0.00883733642464525</v>
      </c>
      <c r="K53" s="71" t="n">
        <f aca="false">K17/K11</f>
        <v>0.00813660435013565</v>
      </c>
      <c r="M53" s="6"/>
      <c r="N53" s="28" t="n">
        <f aca="false">LN(N52/O52)</f>
        <v>-0.0273674737926593</v>
      </c>
      <c r="O53" s="28" t="n">
        <f aca="false">LN(O52/P52)</f>
        <v>0.271429619640457</v>
      </c>
      <c r="P53" s="28" t="n">
        <f aca="false">LN(P52/Q52)</f>
        <v>-0.685060924081198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7.20242290599519</v>
      </c>
      <c r="C54" s="30" t="n">
        <f aca="false">I11/C12</f>
        <v>6.39542877624338</v>
      </c>
      <c r="D54" s="30" t="n">
        <f aca="false">J11/D12</f>
        <v>5.82979182295432</v>
      </c>
      <c r="E54" s="30" t="n">
        <f aca="false">K11/E12</f>
        <v>5.37371999513125</v>
      </c>
      <c r="G54" s="29" t="s">
        <v>64</v>
      </c>
      <c r="H54" s="63" t="e">
        <f aca="false">H25/H22</f>
        <v>#VALUE!</v>
      </c>
      <c r="I54" s="63" t="n">
        <f aca="false">I25/I22</f>
        <v>0.354520024720758</v>
      </c>
      <c r="J54" s="63" t="n">
        <f aca="false">J25/J22</f>
        <v>0.151736513730129</v>
      </c>
      <c r="K54" s="63" t="n">
        <f aca="false">K25/K22</f>
        <v>0.180262060055951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0.846084066518223</v>
      </c>
      <c r="C55" s="31" t="n">
        <f aca="false">(C22-C20)/C16</f>
        <v>0.831441120586256</v>
      </c>
      <c r="D55" s="31" t="n">
        <f aca="false">(D22-D20)/D16</f>
        <v>0.813649043011609</v>
      </c>
      <c r="E55" s="31" t="n">
        <f aca="false">(E22-E20)/E16</f>
        <v>0.796680544742814</v>
      </c>
      <c r="G55" s="29" t="s">
        <v>66</v>
      </c>
      <c r="H55" s="63" t="n">
        <f aca="false">H22/H11</f>
        <v>0.0421635629719684</v>
      </c>
      <c r="I55" s="63" t="n">
        <f aca="false">I22/I11</f>
        <v>0.0371615098891319</v>
      </c>
      <c r="J55" s="63" t="n">
        <f aca="false">J22/J11</f>
        <v>0.0937004733874469</v>
      </c>
      <c r="K55" s="63" t="n">
        <f aca="false">K22/K11</f>
        <v>0.0851047886712901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5.49705314699208</v>
      </c>
      <c r="C56" s="31" t="n">
        <f aca="false">(C22-C20)/C20</f>
        <v>4.93264504058195</v>
      </c>
      <c r="D56" s="31" t="n">
        <f aca="false">(D22-D20)/D20</f>
        <v>4.3662187528358</v>
      </c>
      <c r="E56" s="31" t="n">
        <f aca="false">(E22-E20)/E20</f>
        <v>3.91836847947022</v>
      </c>
      <c r="G56" s="33" t="s">
        <v>68</v>
      </c>
      <c r="H56" s="34" t="n">
        <f aca="false">H13/B16</f>
        <v>0.00746179173911557</v>
      </c>
      <c r="I56" s="34" t="n">
        <f aca="false">I13/C16</f>
        <v>0.00722080654766677</v>
      </c>
      <c r="J56" s="34" t="n">
        <f aca="false">J13/D16</f>
        <v>0.00637839176419087</v>
      </c>
      <c r="K56" s="34" t="n">
        <f aca="false">K13/E16</f>
        <v>0.00920809889909681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0.123866940474778</v>
      </c>
      <c r="C57" s="30" t="n">
        <f aca="false">I11/C16</f>
        <v>0.116020271812513</v>
      </c>
      <c r="D57" s="30" t="n">
        <f aca="false">J11/D16</f>
        <v>0.121074797213546</v>
      </c>
      <c r="E57" s="30" t="n">
        <f aca="false">K11/E16</f>
        <v>0.128879051407367</v>
      </c>
      <c r="G57" s="33" t="s">
        <v>70</v>
      </c>
      <c r="H57" s="35" t="e">
        <f aca="false">H25/$B$5</f>
        <v>#VALUE!</v>
      </c>
      <c r="I57" s="35" t="n">
        <f aca="false">I25/$B$5</f>
        <v>0.00537835359360409</v>
      </c>
      <c r="J57" s="35" t="n">
        <f aca="false">J25/$B$5</f>
        <v>0.00537835359360409</v>
      </c>
      <c r="K57" s="35" t="n">
        <f aca="false">K25/$B$5</f>
        <v>0.00537835359360409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6.49705314699208</v>
      </c>
      <c r="C58" s="30" t="n">
        <f aca="false">C16/C20</f>
        <v>5.93264504058195</v>
      </c>
      <c r="D58" s="30" t="n">
        <f aca="false">D16/D20</f>
        <v>5.3662187528358</v>
      </c>
      <c r="E58" s="30" t="n">
        <f aca="false">E16/E20</f>
        <v>4.91836847947022</v>
      </c>
      <c r="G58" s="36" t="s">
        <v>72</v>
      </c>
      <c r="H58" s="37" t="n">
        <f aca="false">H22/$B$7/1000</f>
        <v>0.504268621043899</v>
      </c>
      <c r="I58" s="37" t="n">
        <f aca="false">I22/$B$7/1000</f>
        <v>0.369864173977112</v>
      </c>
      <c r="J58" s="37" t="n">
        <f aca="false">J22/$B$7/1000</f>
        <v>0.864157564176673</v>
      </c>
      <c r="K58" s="37" t="n">
        <f aca="false">K22/$B$7/1000</f>
        <v>0.72740906245601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14.8611634614521</v>
      </c>
      <c r="I59" s="37" t="n">
        <f aca="false">C20/$B$7/1000</f>
        <v>14.4599460289982</v>
      </c>
      <c r="J59" s="37" t="n">
        <f aca="false">D20/$B$7/1000</f>
        <v>14.1947918282752</v>
      </c>
      <c r="K59" s="37" t="n">
        <f aca="false">E20/$B$7/1000</f>
        <v>13.4840798722906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12.9851998109703</v>
      </c>
      <c r="I60" s="38" t="n">
        <f aca="false">SQRT(22.5*I58*I59)</f>
        <v>10.9697246938929</v>
      </c>
      <c r="J60" s="38" t="n">
        <f aca="false">SQRT(22.5*J58*J59)</f>
        <v>16.6131597365503</v>
      </c>
      <c r="K60" s="38" t="n">
        <f aca="false">SQRT(22.5*K58*K59)</f>
        <v>14.8556367317143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-0.684624455872267</v>
      </c>
      <c r="I61" s="39" t="n">
        <f aca="false">I58-(C20*0.08/1000/$B$7)</f>
        <v>-0.786931508342743</v>
      </c>
      <c r="J61" s="39" t="n">
        <f aca="false">J58-(D20*0.08/1000/$B$7)</f>
        <v>-0.271425782085341</v>
      </c>
      <c r="K61" s="39" t="n">
        <f aca="false">K58-(E20*0.08/1000/$B$7)</f>
        <v>-0.351317327327238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e">
        <f aca="false">H25/$B$7/1000</f>
        <v>#VALUE!</v>
      </c>
      <c r="I62" s="41" t="n">
        <f aca="false">I25/$B$7/1000</f>
        <v>0.131124256101688</v>
      </c>
      <c r="J62" s="41" t="n">
        <f aca="false">J25/$B$7/1000</f>
        <v>0.131124256101688</v>
      </c>
      <c r="K62" s="41" t="n">
        <f aca="false">K25/$B$7/1000</f>
        <v>0.131124256101688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e">
        <f aca="false">SUM(H62:J62)</f>
        <v>#VALUE!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1.03315175655422</v>
      </c>
      <c r="I65" s="6" t="n">
        <f aca="false">J51/I51</f>
        <v>0.846458379447905</v>
      </c>
      <c r="J65" s="6" t="n">
        <f aca="false">K51/J51</f>
        <v>1.35622018650305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1.20164373337154</v>
      </c>
      <c r="I66" s="6" t="n">
        <f aca="false">I11/J11</f>
        <v>1.07918963218879</v>
      </c>
      <c r="J66" s="6" t="n">
        <f aca="false">J11/K11</f>
        <v>1.07901241330452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1.63604090218593</v>
      </c>
      <c r="I67" s="6" t="n">
        <f aca="false">(O13/I11)/(P13/J11)</f>
        <v>-0.866872020173738</v>
      </c>
      <c r="J67" s="6" t="n">
        <f aca="false">(P13/J11)/(Q13/K11)</f>
        <v>-0.942426614180702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0.729041807204067</v>
      </c>
      <c r="I68" s="6" t="n">
        <f aca="false">I52/J52</f>
        <v>0.955586178192817</v>
      </c>
      <c r="J68" s="6" t="n">
        <f aca="false">J52/K52</f>
        <v>1.47486325391991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0.977023914713033</v>
      </c>
      <c r="I69" s="6" t="n">
        <f aca="false">I53/J53</f>
        <v>1.04785520430394</v>
      </c>
      <c r="J69" s="6" t="n">
        <f aca="false">J53/K53</f>
        <v>1.08612094730868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1.09513599794852</v>
      </c>
      <c r="I70" s="6" t="n">
        <f aca="false">C58/D58</f>
        <v>1.10555408078488</v>
      </c>
      <c r="J70" s="6" t="n">
        <f aca="false">D58/E58</f>
        <v>1.09105667361747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1.06954623226764</v>
      </c>
      <c r="I71" s="6" t="n">
        <f aca="false">((1-C11)/C16)/((1-D11)/D16)</f>
        <v>0.861515548954578</v>
      </c>
      <c r="J71" s="6" t="n">
        <f aca="false">((1-D11)/D16)/((1-E11)/E16)</f>
        <v>0.966054142669395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-0.0736889046110106</v>
      </c>
      <c r="I72" s="6" t="n">
        <f aca="false">((I13-I16-I17)-O24)/C16</f>
        <v>-0.0820795385472069</v>
      </c>
      <c r="J72" s="6" t="n">
        <f aca="false">((J13-J16-J17)-P24)/D16</f>
        <v>-0.0943127376399513</v>
      </c>
      <c r="K72" s="6" t="n">
        <f aca="false">((K13-K16-K17)-Q24)/E16</f>
        <v>-0.00324299158382952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-2.00263905145895</v>
      </c>
      <c r="I73" s="6" t="n">
        <f aca="false">-4.84 + 0.92 *I67  + 0.528 *I65 + 0.404 *I71 + 0.892 *I66 + 0.115 *I69 - 0.172 *I68- 0.327 *I70 + 4.697 *I72</f>
        <v>-4.67080405164839</v>
      </c>
      <c r="J73" s="6" t="n">
        <f aca="false">-4.84 + 0.92 *J67  + 0.528 *J65 + 0.404 *J71 + 0.892 *J66 + 0.115 *J69 - 0.172 *J68- 0.327 *J70 + 4.697 *J72</f>
        <v>-4.56671831196806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CARE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0.000609563739649001</v>
      </c>
      <c r="I75" s="6" t="n">
        <f aca="false">I59*$B$7/$B$5</f>
        <v>0.000593106912485143</v>
      </c>
      <c r="J75" s="6" t="n">
        <f aca="false">J59*$B$7/$B$5</f>
        <v>0.00058223102200755</v>
      </c>
      <c r="K75" s="6" t="n">
        <f aca="false">K59*$B$7/$B$5</f>
        <v>0.000553079587207244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5" t="n">
        <f aca="false">(H15-H16)/$B$6</f>
        <v>0.00603984118186642</v>
      </c>
      <c r="I78" s="75" t="n">
        <f aca="false">(I15-I16)/$B$6</f>
        <v>0.00493575360020531</v>
      </c>
      <c r="J78" s="75" t="n">
        <f aca="false">(J15-J16)/$B$6</f>
        <v>0.0101568138619805</v>
      </c>
      <c r="K78" s="75" t="n">
        <f aca="false">(K15-K16)/$B$6</f>
        <v>0.00753409053855561</v>
      </c>
      <c r="M78" s="6"/>
    </row>
    <row r="79" customFormat="false" ht="15" hidden="false" customHeight="false" outlineLevel="0" collapsed="false">
      <c r="A79" s="6"/>
      <c r="G79" s="2" t="s">
        <v>118</v>
      </c>
      <c r="H79" s="75" t="n">
        <f aca="false">$B$6/H20</f>
        <v>209.768698588415</v>
      </c>
      <c r="I79" s="75" t="n">
        <f aca="false">$B$6/(I15-I16)</f>
        <v>202.603306607203</v>
      </c>
      <c r="J79" s="75" t="n">
        <f aca="false">$B$6/(J15-J16)</f>
        <v>98.4560723066164</v>
      </c>
      <c r="K79" s="75" t="n">
        <f aca="false">$B$6/(K15-K16)</f>
        <v>132.730021610772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/>
      <c r="B5" s="2" t="n">
        <v>1500</v>
      </c>
      <c r="G5" s="6"/>
      <c r="M5" s="6"/>
    </row>
    <row r="6" customFormat="false" ht="15" hidden="false" customHeight="false" outlineLevel="0" collapsed="false">
      <c r="A6" s="2"/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120</v>
      </c>
      <c r="B8" s="12" t="n">
        <v>5132787</v>
      </c>
      <c r="C8" s="12" t="n">
        <v>6065881</v>
      </c>
      <c r="D8" s="12" t="n">
        <v>4972467</v>
      </c>
      <c r="E8" s="12" t="n">
        <v>2764956</v>
      </c>
      <c r="G8" s="23" t="s">
        <v>121</v>
      </c>
      <c r="H8" s="17"/>
      <c r="I8" s="17"/>
      <c r="J8" s="17"/>
      <c r="K8" s="17" t="n">
        <v>0</v>
      </c>
      <c r="M8" s="23" t="s">
        <v>8</v>
      </c>
      <c r="N8" s="12" t="n">
        <v>1469976</v>
      </c>
      <c r="O8" s="12" t="n">
        <v>1264431</v>
      </c>
      <c r="P8" s="12" t="n">
        <v>1004757</v>
      </c>
      <c r="Q8" s="12" t="n">
        <v>733159</v>
      </c>
    </row>
    <row r="9" customFormat="false" ht="15" hidden="false" customHeight="false" outlineLevel="0" collapsed="false">
      <c r="A9" s="23" t="s">
        <v>122</v>
      </c>
      <c r="B9" s="12" t="n">
        <v>17014688</v>
      </c>
      <c r="C9" s="12" t="n">
        <v>10317854</v>
      </c>
      <c r="D9" s="12" t="n">
        <v>4972181</v>
      </c>
      <c r="E9" s="12" t="n">
        <v>9007813</v>
      </c>
      <c r="G9" s="23" t="s">
        <v>123</v>
      </c>
      <c r="H9" s="17"/>
      <c r="I9" s="17"/>
      <c r="J9" s="17"/>
      <c r="K9" s="17" t="n">
        <v>0</v>
      </c>
      <c r="M9" s="23" t="s">
        <v>11</v>
      </c>
      <c r="N9" s="12" t="n">
        <v>160659</v>
      </c>
      <c r="O9" s="12" t="n">
        <v>153552</v>
      </c>
      <c r="P9" s="12" t="n">
        <v>154141</v>
      </c>
      <c r="Q9" s="12" t="n">
        <v>150254</v>
      </c>
    </row>
    <row r="10" customFormat="false" ht="15" hidden="false" customHeight="false" outlineLevel="0" collapsed="false">
      <c r="A10" s="23" t="s">
        <v>12</v>
      </c>
      <c r="B10" s="12" t="n">
        <v>6468138</v>
      </c>
      <c r="C10" s="12" t="n">
        <v>8036151</v>
      </c>
      <c r="D10" s="12" t="n">
        <v>5399466</v>
      </c>
      <c r="E10" s="12" t="n">
        <v>1960243</v>
      </c>
      <c r="G10" s="23" t="s">
        <v>124</v>
      </c>
      <c r="H10" s="17" t="n">
        <v>0</v>
      </c>
      <c r="I10" s="17" t="n">
        <v>0</v>
      </c>
      <c r="J10" s="17" t="n">
        <v>0</v>
      </c>
      <c r="K10" s="17" t="n">
        <v>0</v>
      </c>
      <c r="M10" s="23" t="s">
        <v>125</v>
      </c>
      <c r="N10" s="14" t="n">
        <v>-54</v>
      </c>
      <c r="O10" s="14" t="n">
        <v>-455</v>
      </c>
      <c r="P10" s="12" t="n">
        <v>3932</v>
      </c>
      <c r="Q10" s="45" t="n">
        <v>0</v>
      </c>
    </row>
    <row r="11" customFormat="false" ht="15" hidden="false" customHeight="false" outlineLevel="0" collapsed="false">
      <c r="A11" s="23" t="s">
        <v>126</v>
      </c>
      <c r="B11" s="12" t="n">
        <v>56570051</v>
      </c>
      <c r="C11" s="12" t="n">
        <v>53636981</v>
      </c>
      <c r="D11" s="12" t="n">
        <v>44923623</v>
      </c>
      <c r="E11" s="12" t="n">
        <v>37186500</v>
      </c>
      <c r="G11" s="23" t="s">
        <v>127</v>
      </c>
      <c r="H11" s="12" t="n">
        <v>620009</v>
      </c>
      <c r="I11" s="12" t="n">
        <v>396213</v>
      </c>
      <c r="J11" s="12" t="n">
        <v>272598</v>
      </c>
      <c r="K11" s="12" t="n">
        <v>242855</v>
      </c>
      <c r="M11" s="23" t="s">
        <v>128</v>
      </c>
      <c r="N11" s="12" t="n">
        <v>307765</v>
      </c>
      <c r="O11" s="12" t="n">
        <v>161673</v>
      </c>
      <c r="P11" s="12" t="n">
        <v>274224</v>
      </c>
      <c r="Q11" s="12" t="n">
        <v>154373</v>
      </c>
    </row>
    <row r="12" customFormat="false" ht="15" hidden="false" customHeight="false" outlineLevel="0" collapsed="false">
      <c r="A12" s="23" t="s">
        <v>129</v>
      </c>
      <c r="B12" s="12" t="n">
        <v>1629004</v>
      </c>
      <c r="C12" s="12" t="n">
        <v>1543578</v>
      </c>
      <c r="D12" s="12" t="n">
        <v>1474912</v>
      </c>
      <c r="E12" s="12" t="n">
        <v>1447824</v>
      </c>
      <c r="G12" s="23" t="s">
        <v>130</v>
      </c>
      <c r="H12" s="12" t="n">
        <v>94223</v>
      </c>
      <c r="I12" s="12" t="n">
        <v>57487</v>
      </c>
      <c r="J12" s="12" t="n">
        <v>30829</v>
      </c>
      <c r="K12" s="12" t="n">
        <v>21417</v>
      </c>
      <c r="M12" s="23" t="s">
        <v>131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132</v>
      </c>
      <c r="B13" s="12" t="n">
        <v>1909862</v>
      </c>
      <c r="C13" s="12" t="n">
        <v>1261414</v>
      </c>
      <c r="D13" s="12" t="n">
        <v>1258583</v>
      </c>
      <c r="E13" s="12" t="n">
        <v>1647117</v>
      </c>
      <c r="G13" s="23" t="s">
        <v>133</v>
      </c>
      <c r="H13" s="12" t="n">
        <v>47186</v>
      </c>
      <c r="I13" s="12" t="n">
        <v>72068</v>
      </c>
      <c r="J13" s="12" t="n">
        <v>111685</v>
      </c>
      <c r="K13" s="12" t="n">
        <v>33011</v>
      </c>
      <c r="M13" s="23" t="s">
        <v>134</v>
      </c>
      <c r="N13" s="12" t="n">
        <v>20663</v>
      </c>
      <c r="O13" s="12" t="n">
        <v>5931</v>
      </c>
      <c r="P13" s="12" t="n">
        <v>3952</v>
      </c>
      <c r="Q13" s="12" t="n">
        <v>10676</v>
      </c>
    </row>
    <row r="14" customFormat="false" ht="15" hidden="false" customHeight="false" outlineLevel="0" collapsed="false">
      <c r="A14" s="23" t="s">
        <v>135</v>
      </c>
      <c r="B14" s="45"/>
      <c r="C14" s="45"/>
      <c r="D14" s="45"/>
      <c r="E14" s="45" t="n">
        <v>0</v>
      </c>
      <c r="G14" s="23" t="s">
        <v>136</v>
      </c>
      <c r="H14" s="12" t="n">
        <v>2278686</v>
      </c>
      <c r="I14" s="12" t="n">
        <v>2074948</v>
      </c>
      <c r="J14" s="12" t="n">
        <v>1834835</v>
      </c>
      <c r="K14" s="12" t="n">
        <v>1517127</v>
      </c>
      <c r="M14" s="23" t="s">
        <v>122</v>
      </c>
      <c r="N14" s="14" t="n">
        <v>-3267576</v>
      </c>
      <c r="O14" s="14" t="n">
        <v>-5163062</v>
      </c>
      <c r="P14" s="14" t="n">
        <v>-2382896</v>
      </c>
      <c r="Q14" s="12" t="n">
        <v>1518324</v>
      </c>
    </row>
    <row r="15" customFormat="false" ht="15" hidden="false" customHeight="false" outlineLevel="0" collapsed="false">
      <c r="A15" s="23" t="s">
        <v>20</v>
      </c>
      <c r="B15" s="12" t="n">
        <v>88724530</v>
      </c>
      <c r="C15" s="12" t="n">
        <v>80861859</v>
      </c>
      <c r="D15" s="12" t="n">
        <v>63001232</v>
      </c>
      <c r="E15" s="12" t="n">
        <v>54014453</v>
      </c>
      <c r="G15" s="23" t="s">
        <v>137</v>
      </c>
      <c r="H15" s="12" t="n">
        <v>22172</v>
      </c>
      <c r="I15" s="12" t="n">
        <v>17531</v>
      </c>
      <c r="J15" s="12" t="n">
        <v>21707</v>
      </c>
      <c r="K15" s="12" t="n">
        <v>11253</v>
      </c>
      <c r="M15" s="23" t="s">
        <v>135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138</v>
      </c>
      <c r="B16" s="12" t="n">
        <v>2263674</v>
      </c>
      <c r="C16" s="12" t="n">
        <v>32657</v>
      </c>
      <c r="D16" s="12" t="n">
        <v>200736</v>
      </c>
      <c r="E16" s="12" t="n">
        <v>2414532</v>
      </c>
      <c r="G16" s="23" t="s">
        <v>139</v>
      </c>
      <c r="H16" s="12" t="n">
        <v>465</v>
      </c>
      <c r="I16" s="12" t="n">
        <v>1592</v>
      </c>
      <c r="J16" s="12" t="n">
        <v>7421</v>
      </c>
      <c r="K16" s="12" t="n">
        <v>391</v>
      </c>
      <c r="M16" s="23" t="s">
        <v>126</v>
      </c>
      <c r="N16" s="14" t="n">
        <v>-3129243</v>
      </c>
      <c r="O16" s="14" t="n">
        <v>-8857957</v>
      </c>
      <c r="P16" s="14" t="n">
        <v>-7970143</v>
      </c>
      <c r="Q16" s="14" t="n">
        <v>-12080965</v>
      </c>
    </row>
    <row r="17" customFormat="false" ht="15" hidden="false" customHeight="false" outlineLevel="0" collapsed="false">
      <c r="A17" s="23" t="s">
        <v>140</v>
      </c>
      <c r="B17" s="12" t="n">
        <v>65541656</v>
      </c>
      <c r="C17" s="12" t="n">
        <v>59427825</v>
      </c>
      <c r="D17" s="12" t="n">
        <v>42762623</v>
      </c>
      <c r="E17" s="12" t="n">
        <v>32213612</v>
      </c>
      <c r="G17" s="23" t="s">
        <v>141</v>
      </c>
      <c r="H17" s="12" t="n">
        <v>3062741</v>
      </c>
      <c r="I17" s="12" t="n">
        <v>2619839</v>
      </c>
      <c r="J17" s="12" t="n">
        <v>2279075</v>
      </c>
      <c r="K17" s="12" t="n">
        <v>1826054</v>
      </c>
      <c r="M17" s="23" t="s">
        <v>17</v>
      </c>
      <c r="N17" s="14" t="n">
        <v>-648448</v>
      </c>
      <c r="O17" s="14" t="n">
        <v>-762</v>
      </c>
      <c r="P17" s="14" t="n">
        <v>-450389</v>
      </c>
      <c r="Q17" s="14" t="n">
        <v>-347294</v>
      </c>
    </row>
    <row r="18" customFormat="false" ht="15" hidden="false" customHeight="false" outlineLevel="0" collapsed="false">
      <c r="A18" s="23" t="s">
        <v>28</v>
      </c>
      <c r="B18" s="12" t="n">
        <v>2567039</v>
      </c>
      <c r="C18" s="12" t="n">
        <v>3462145</v>
      </c>
      <c r="D18" s="12" t="n">
        <v>3205942</v>
      </c>
      <c r="E18" s="12" t="n">
        <v>2722112</v>
      </c>
      <c r="G18" s="23" t="s">
        <v>142</v>
      </c>
      <c r="H18" s="12" t="n">
        <v>669975</v>
      </c>
      <c r="I18" s="12" t="n">
        <v>637027</v>
      </c>
      <c r="J18" s="12" t="n">
        <v>492591</v>
      </c>
      <c r="K18" s="12" t="n">
        <v>472261</v>
      </c>
      <c r="M18" s="23" t="s">
        <v>143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144</v>
      </c>
      <c r="B19" s="12" t="n">
        <v>70372369</v>
      </c>
      <c r="C19" s="12" t="n">
        <v>62922627</v>
      </c>
      <c r="D19" s="12" t="n">
        <v>46169301</v>
      </c>
      <c r="E19" s="12" t="n">
        <v>37350256</v>
      </c>
      <c r="G19" s="23" t="s">
        <v>145</v>
      </c>
      <c r="H19" s="12" t="n">
        <v>127841</v>
      </c>
      <c r="I19" s="12" t="n">
        <v>108492</v>
      </c>
      <c r="J19" s="12" t="n">
        <v>92083</v>
      </c>
      <c r="K19" s="12" t="n">
        <v>81226</v>
      </c>
      <c r="M19" s="23" t="s">
        <v>138</v>
      </c>
      <c r="N19" s="12" t="n">
        <v>2231017</v>
      </c>
      <c r="O19" s="14" t="n">
        <v>-168079</v>
      </c>
      <c r="P19" s="14" t="n">
        <v>-2213796</v>
      </c>
      <c r="Q19" s="14" t="n">
        <v>-28344</v>
      </c>
    </row>
    <row r="20" customFormat="false" ht="15" hidden="false" customHeight="false" outlineLevel="0" collapsed="false">
      <c r="A20" s="23" t="s">
        <v>146</v>
      </c>
      <c r="B20" s="12" t="n">
        <v>15000000</v>
      </c>
      <c r="C20" s="12" t="n">
        <v>15000000</v>
      </c>
      <c r="D20" s="12" t="n">
        <v>15000000</v>
      </c>
      <c r="E20" s="12" t="n">
        <v>15000000</v>
      </c>
      <c r="G20" s="23" t="s">
        <v>11</v>
      </c>
      <c r="H20" s="12" t="n">
        <v>160659</v>
      </c>
      <c r="I20" s="12" t="n">
        <v>153552</v>
      </c>
      <c r="J20" s="12" t="n">
        <v>154141</v>
      </c>
      <c r="K20" s="12" t="n">
        <v>150254</v>
      </c>
      <c r="M20" s="23" t="s">
        <v>147</v>
      </c>
      <c r="N20" s="12" t="n">
        <v>6096758</v>
      </c>
      <c r="O20" s="12" t="n">
        <v>16648128</v>
      </c>
      <c r="P20" s="12" t="n">
        <v>10554420</v>
      </c>
      <c r="Q20" s="12" t="n">
        <v>14437328</v>
      </c>
    </row>
    <row r="21" customFormat="false" ht="15" hidden="false" customHeight="false" outlineLevel="0" collapsed="false">
      <c r="A21" s="23" t="s">
        <v>148</v>
      </c>
      <c r="B21" s="45"/>
      <c r="C21" s="45"/>
      <c r="D21" s="45"/>
      <c r="E21" s="45" t="n">
        <v>0</v>
      </c>
      <c r="G21" s="23" t="s">
        <v>149</v>
      </c>
      <c r="H21" s="12" t="n">
        <v>315625</v>
      </c>
      <c r="I21" s="12" t="n">
        <v>285866</v>
      </c>
      <c r="J21" s="12" t="n">
        <v>250843</v>
      </c>
      <c r="K21" s="12" t="n">
        <v>221268</v>
      </c>
      <c r="M21" s="23" t="s">
        <v>28</v>
      </c>
      <c r="N21" s="14" t="n">
        <v>-895106</v>
      </c>
      <c r="O21" s="12" t="n">
        <v>256203</v>
      </c>
      <c r="P21" s="12" t="n">
        <v>481789</v>
      </c>
      <c r="Q21" s="12" t="n">
        <v>2051927</v>
      </c>
    </row>
    <row r="22" customFormat="false" ht="15" hidden="false" customHeight="false" outlineLevel="0" collapsed="false">
      <c r="A22" s="23" t="s">
        <v>150</v>
      </c>
      <c r="B22" s="12" t="n">
        <v>1381050</v>
      </c>
      <c r="C22" s="12" t="n">
        <v>1013556</v>
      </c>
      <c r="D22" s="12" t="n">
        <v>697448</v>
      </c>
      <c r="E22" s="12" t="n">
        <v>446259</v>
      </c>
      <c r="G22" s="23" t="s">
        <v>151</v>
      </c>
      <c r="H22" s="12" t="n">
        <v>307765</v>
      </c>
      <c r="I22" s="12" t="n">
        <v>161673</v>
      </c>
      <c r="J22" s="12" t="n">
        <v>274224</v>
      </c>
      <c r="K22" s="12" t="n">
        <v>154373</v>
      </c>
      <c r="M22" s="23" t="s">
        <v>152</v>
      </c>
      <c r="N22" s="12" t="n">
        <v>2346411</v>
      </c>
      <c r="O22" s="12" t="n">
        <v>4299603</v>
      </c>
      <c r="P22" s="14" t="n">
        <v>-540009</v>
      </c>
      <c r="Q22" s="12" t="n">
        <v>6599438</v>
      </c>
    </row>
    <row r="23" customFormat="false" ht="15" hidden="false" customHeight="false" outlineLevel="0" collapsed="false">
      <c r="A23" s="23" t="s">
        <v>153</v>
      </c>
      <c r="B23" s="12" t="n">
        <v>2099759</v>
      </c>
      <c r="C23" s="12" t="n">
        <v>2078385</v>
      </c>
      <c r="D23" s="12" t="n">
        <v>1197992</v>
      </c>
      <c r="E23" s="12" t="n">
        <v>1338775</v>
      </c>
      <c r="G23" s="23" t="s">
        <v>154</v>
      </c>
      <c r="H23" s="12" t="n">
        <v>1581865</v>
      </c>
      <c r="I23" s="12" t="n">
        <v>1346610</v>
      </c>
      <c r="J23" s="12" t="n">
        <v>1263882</v>
      </c>
      <c r="K23" s="12" t="n">
        <v>1079382</v>
      </c>
      <c r="M23" s="23" t="s">
        <v>155</v>
      </c>
      <c r="N23" s="12" t="n">
        <v>22172</v>
      </c>
      <c r="O23" s="12" t="n">
        <v>17531</v>
      </c>
      <c r="P23" s="45"/>
      <c r="Q23" s="45" t="n">
        <v>0</v>
      </c>
    </row>
    <row r="24" customFormat="false" ht="15" hidden="false" customHeight="false" outlineLevel="0" collapsed="false">
      <c r="A24" s="23" t="s">
        <v>156</v>
      </c>
      <c r="B24" s="14" t="n">
        <v>-128648</v>
      </c>
      <c r="C24" s="14" t="n">
        <v>-152709</v>
      </c>
      <c r="D24" s="14" t="n">
        <v>-63509</v>
      </c>
      <c r="E24" s="14" t="n">
        <v>-120837</v>
      </c>
      <c r="G24" s="23" t="s">
        <v>157</v>
      </c>
      <c r="H24" s="14" t="n">
        <v>-10900</v>
      </c>
      <c r="I24" s="14" t="n">
        <v>-8798</v>
      </c>
      <c r="J24" s="14" t="n">
        <v>-10436</v>
      </c>
      <c r="K24" s="14" t="n">
        <v>-13513</v>
      </c>
      <c r="M24" s="23" t="s">
        <v>158</v>
      </c>
      <c r="N24" s="45"/>
      <c r="O24" s="45"/>
      <c r="P24" s="45"/>
      <c r="Q24" s="45" t="n">
        <v>0</v>
      </c>
    </row>
    <row r="25" customFormat="false" ht="15" hidden="false" customHeight="false" outlineLevel="0" collapsed="false">
      <c r="A25" s="23" t="s">
        <v>31</v>
      </c>
      <c r="B25" s="12" t="n">
        <v>18352161</v>
      </c>
      <c r="C25" s="12" t="n">
        <v>17939232</v>
      </c>
      <c r="D25" s="12" t="n">
        <v>16831931</v>
      </c>
      <c r="E25" s="12" t="n">
        <v>16664197</v>
      </c>
      <c r="G25" s="23" t="s">
        <v>159</v>
      </c>
      <c r="H25" s="12" t="n">
        <v>1469976</v>
      </c>
      <c r="I25" s="12" t="n">
        <v>1264431</v>
      </c>
      <c r="J25" s="12" t="n">
        <v>1004757</v>
      </c>
      <c r="K25" s="12" t="n">
        <v>733159</v>
      </c>
      <c r="M25" s="23" t="s">
        <v>160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161</v>
      </c>
      <c r="H26" s="12" t="n">
        <v>1268285</v>
      </c>
      <c r="I26" s="12" t="n">
        <v>1197992</v>
      </c>
      <c r="J26" s="12" t="n">
        <v>1338775</v>
      </c>
      <c r="K26" s="12" t="n">
        <v>788906</v>
      </c>
      <c r="M26" s="23" t="s">
        <v>27</v>
      </c>
      <c r="N26" s="14" t="n">
        <v>-246149</v>
      </c>
      <c r="O26" s="14" t="n">
        <v>-225437</v>
      </c>
      <c r="P26" s="14" t="n">
        <v>-219120</v>
      </c>
      <c r="Q26" s="14" t="n">
        <v>-218833</v>
      </c>
    </row>
    <row r="27" customFormat="false" ht="15" hidden="false" customHeight="false" outlineLevel="0" collapsed="false">
      <c r="A27" s="23" t="s">
        <v>37</v>
      </c>
      <c r="B27" s="12" t="n">
        <v>88724530</v>
      </c>
      <c r="C27" s="12" t="n">
        <v>80861859</v>
      </c>
      <c r="D27" s="12" t="n">
        <v>63001232</v>
      </c>
      <c r="E27" s="12" t="n">
        <v>54014453</v>
      </c>
      <c r="G27" s="23" t="s">
        <v>162</v>
      </c>
      <c r="H27" s="12" t="n">
        <v>367494</v>
      </c>
      <c r="I27" s="12" t="n">
        <v>316108</v>
      </c>
      <c r="J27" s="12" t="n">
        <v>251189</v>
      </c>
      <c r="K27" s="12" t="n">
        <v>183290</v>
      </c>
      <c r="M27" s="23" t="s">
        <v>163</v>
      </c>
      <c r="N27" s="12" t="n">
        <v>118</v>
      </c>
      <c r="O27" s="12" t="n">
        <v>3674</v>
      </c>
      <c r="P27" s="12" t="n">
        <v>33959</v>
      </c>
      <c r="Q27" s="45" t="n">
        <v>0</v>
      </c>
    </row>
    <row r="28" customFormat="false" ht="15" hidden="false" customHeight="false" outlineLevel="0" collapsed="false">
      <c r="A28" s="23" t="s">
        <v>164</v>
      </c>
      <c r="B28" s="12" t="n">
        <v>12817737</v>
      </c>
      <c r="C28" s="12" t="n">
        <v>8175656</v>
      </c>
      <c r="D28" s="12" t="n">
        <v>7792972</v>
      </c>
      <c r="E28" s="12" t="n">
        <v>8197272</v>
      </c>
      <c r="G28" s="23" t="s">
        <v>165</v>
      </c>
      <c r="H28" s="12" t="n">
        <v>787057</v>
      </c>
      <c r="I28" s="12" t="n">
        <v>810100</v>
      </c>
      <c r="J28" s="17"/>
      <c r="K28" s="45" t="n">
        <v>0</v>
      </c>
      <c r="M28" s="23" t="s">
        <v>166</v>
      </c>
      <c r="N28" s="14" t="n">
        <v>-223859</v>
      </c>
      <c r="O28" s="14" t="n">
        <v>-204232</v>
      </c>
      <c r="P28" s="14" t="n">
        <v>-185161</v>
      </c>
      <c r="Q28" s="14" t="n">
        <v>-218833</v>
      </c>
    </row>
    <row r="29" customFormat="false" ht="15" hidden="false" customHeight="false" outlineLevel="0" collapsed="false">
      <c r="A29" s="6"/>
      <c r="G29" s="23" t="s">
        <v>45</v>
      </c>
      <c r="H29" s="12" t="n">
        <v>271008</v>
      </c>
      <c r="I29" s="12" t="n">
        <v>67930</v>
      </c>
      <c r="J29" s="12" t="n">
        <v>894351</v>
      </c>
      <c r="K29" s="45" t="n">
        <v>0</v>
      </c>
      <c r="M29" s="23" t="s">
        <v>167</v>
      </c>
      <c r="N29" s="45"/>
      <c r="O29" s="45"/>
      <c r="P29" s="45"/>
      <c r="Q29" s="45" t="n">
        <v>0</v>
      </c>
    </row>
    <row r="30" customFormat="false" ht="15" hidden="false" customHeight="false" outlineLevel="0" collapsed="false">
      <c r="A30" s="6"/>
      <c r="G30" s="23" t="s">
        <v>168</v>
      </c>
      <c r="H30" s="12" t="n">
        <v>1312702</v>
      </c>
      <c r="I30" s="12" t="n">
        <v>1268285</v>
      </c>
      <c r="J30" s="12" t="n">
        <v>1197992</v>
      </c>
      <c r="K30" s="12" t="n">
        <v>1338775</v>
      </c>
      <c r="M30" s="23" t="s">
        <v>169</v>
      </c>
      <c r="N30" s="14" t="n">
        <v>-1081108</v>
      </c>
      <c r="O30" s="14" t="n">
        <v>-70000</v>
      </c>
      <c r="P30" s="14" t="n">
        <v>-100000</v>
      </c>
      <c r="Q30" s="45" t="n">
        <v>0</v>
      </c>
    </row>
    <row r="31" customFormat="false" ht="15" hidden="false" customHeight="false" outlineLevel="0" collapsed="false">
      <c r="A31" s="6"/>
      <c r="G31" s="6"/>
      <c r="H31" s="28" t="n">
        <f aca="false">LN(H25/I25)</f>
        <v>0.150623855510243</v>
      </c>
      <c r="I31" s="28" t="n">
        <f aca="false">LN(I25/J25)</f>
        <v>0.229876497386415</v>
      </c>
      <c r="J31" s="28" t="n">
        <f aca="false">LN(J25/K25)</f>
        <v>0.315138405068269</v>
      </c>
      <c r="M31" s="23" t="s">
        <v>170</v>
      </c>
      <c r="N31" s="12" t="n">
        <v>1041444</v>
      </c>
      <c r="O31" s="12" t="n">
        <v>4025371</v>
      </c>
      <c r="P31" s="14" t="n">
        <v>-825170</v>
      </c>
      <c r="Q31" s="12" t="n">
        <v>6380605</v>
      </c>
    </row>
    <row r="32" customFormat="false" ht="15" hidden="false" customHeight="false" outlineLevel="0" collapsed="false">
      <c r="A32" s="6"/>
      <c r="G32" s="6"/>
      <c r="M32" s="23" t="s">
        <v>171</v>
      </c>
      <c r="N32" s="12" t="n">
        <v>10066103</v>
      </c>
      <c r="O32" s="12" t="n">
        <v>6040732</v>
      </c>
      <c r="P32" s="12" t="n">
        <v>6865902</v>
      </c>
      <c r="Q32" s="12" t="n">
        <v>485297</v>
      </c>
    </row>
    <row r="33" customFormat="false" ht="15" hidden="false" customHeight="false" outlineLevel="0" collapsed="false">
      <c r="A33" s="6"/>
      <c r="G33" s="6"/>
      <c r="M33" s="23" t="s">
        <v>172</v>
      </c>
      <c r="N33" s="12" t="n">
        <v>11107547</v>
      </c>
      <c r="O33" s="12" t="n">
        <v>10066103</v>
      </c>
      <c r="P33" s="12" t="n">
        <v>6040732</v>
      </c>
      <c r="Q33" s="12" t="n">
        <v>6865902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114</v>
      </c>
      <c r="N34" s="4" t="n">
        <f aca="false">N22-N26</f>
        <v>2592560</v>
      </c>
      <c r="O34" s="4" t="n">
        <f aca="false">O22-O26</f>
        <v>4525040</v>
      </c>
      <c r="P34" s="4" t="n">
        <f aca="false">P22-P26</f>
        <v>-320889</v>
      </c>
      <c r="Q34" s="4" t="n">
        <f aca="false">Q22-Q26</f>
        <v>6818271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0.0345196644039704</v>
      </c>
      <c r="C35" s="31" t="n">
        <f aca="false">I17/C15</f>
        <v>0.0323989459604187</v>
      </c>
      <c r="D35" s="31" t="n">
        <f aca="false">J17/D15</f>
        <v>0.0361750862268852</v>
      </c>
      <c r="E35" s="31" t="n">
        <f aca="false">K17/E15</f>
        <v>0.0338067664963672</v>
      </c>
      <c r="F35" s="31"/>
      <c r="G35" s="29" t="s">
        <v>61</v>
      </c>
      <c r="H35" s="31" t="n">
        <f aca="false">H21/H17</f>
        <v>0.103053114840595</v>
      </c>
      <c r="I35" s="31" t="n">
        <f aca="false">I21/I17</f>
        <v>0.109115865516927</v>
      </c>
      <c r="J35" s="31" t="n">
        <f aca="false">J21/J17</f>
        <v>0.110063512609282</v>
      </c>
      <c r="K35" s="31" t="n">
        <f aca="false">K21/K17</f>
        <v>0.121172758308352</v>
      </c>
      <c r="M35" s="2"/>
    </row>
    <row r="36" customFormat="false" ht="15" hidden="false" customHeight="false" outlineLevel="0" collapsed="false">
      <c r="A36" s="29" t="s">
        <v>62</v>
      </c>
      <c r="B36" s="31" t="n">
        <f aca="false">H17/B25</f>
        <v>0.166887212900977</v>
      </c>
      <c r="C36" s="31" t="n">
        <f aca="false">I17/C25</f>
        <v>0.146039640938921</v>
      </c>
      <c r="D36" s="31" t="n">
        <f aca="false">J17/D25</f>
        <v>0.135401873973937</v>
      </c>
      <c r="E36" s="31" t="n">
        <f aca="false">K17/E25</f>
        <v>0.109579477486974</v>
      </c>
      <c r="G36" s="29"/>
      <c r="H36" s="31"/>
      <c r="I36" s="31"/>
      <c r="J36" s="31"/>
      <c r="K36" s="31"/>
      <c r="M36" s="2"/>
    </row>
    <row r="37" customFormat="false" ht="15" hidden="false" customHeight="false" outlineLevel="0" collapsed="false">
      <c r="A37" s="29" t="s">
        <v>173</v>
      </c>
      <c r="B37" s="49" t="n">
        <f aca="false">H25/(B15-B12-B13)</f>
        <v>0.017256143005471</v>
      </c>
      <c r="C37" s="49" t="n">
        <f aca="false">I25/(C15-C12-C13)</f>
        <v>0.0161988438505993</v>
      </c>
      <c r="D37" s="49" t="n">
        <f aca="false">J25/(D15-D12-D13)</f>
        <v>0.0166715567899953</v>
      </c>
      <c r="E37" s="49" t="n">
        <f aca="false">K25/(E15-E12-E13)</f>
        <v>0.0143983901495364</v>
      </c>
      <c r="G37" s="29" t="s">
        <v>64</v>
      </c>
      <c r="H37" s="31" t="n">
        <f aca="false">H25/H22</f>
        <v>4.77629360063685</v>
      </c>
      <c r="I37" s="31" t="n">
        <f aca="false">I25/I22</f>
        <v>7.82091629400085</v>
      </c>
      <c r="J37" s="31" t="n">
        <f aca="false">J25/J22</f>
        <v>3.66400096271661</v>
      </c>
      <c r="K37" s="31" t="n">
        <f aca="false">K25/K22</f>
        <v>4.7492696261652</v>
      </c>
      <c r="M37" s="2"/>
    </row>
    <row r="38" customFormat="false" ht="15" hidden="false" customHeight="false" outlineLevel="0" collapsed="false">
      <c r="A38" s="29" t="s">
        <v>65</v>
      </c>
      <c r="B38" s="31" t="n">
        <f aca="false">B19/B15</f>
        <v>0.793155725930585</v>
      </c>
      <c r="C38" s="31" t="n">
        <f aca="false">C19/C15</f>
        <v>0.778149646547206</v>
      </c>
      <c r="D38" s="31" t="n">
        <f aca="false">D19/D15</f>
        <v>0.732831716687699</v>
      </c>
      <c r="E38" s="31" t="n">
        <f aca="false">E19/E15</f>
        <v>0.691486332371079</v>
      </c>
      <c r="G38" s="29" t="s">
        <v>66</v>
      </c>
      <c r="H38" s="31" t="n">
        <f aca="false">H23/H17</f>
        <v>0.516486702597445</v>
      </c>
      <c r="I38" s="31" t="n">
        <f aca="false">I23/I17</f>
        <v>0.514004868238086</v>
      </c>
      <c r="J38" s="31" t="n">
        <f aca="false">J23/J17</f>
        <v>0.554559196165111</v>
      </c>
      <c r="K38" s="31" t="n">
        <f aca="false">K23/K17</f>
        <v>0.591100810819395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3.83455490609525</v>
      </c>
      <c r="C39" s="31" t="n">
        <f aca="false">C19/C25</f>
        <v>3.50754296505001</v>
      </c>
      <c r="D39" s="31" t="n">
        <f aca="false">D19/D25</f>
        <v>2.74295925999221</v>
      </c>
      <c r="E39" s="31" t="n">
        <f aca="false">E19/E25</f>
        <v>2.24134748287001</v>
      </c>
      <c r="G39" s="36" t="s">
        <v>72</v>
      </c>
      <c r="H39" s="37" t="n">
        <f aca="false">H25/$B$5/1000</f>
        <v>0.979984</v>
      </c>
      <c r="I39" s="37" t="n">
        <f aca="false">I25/$B$5/1000</f>
        <v>0.842954</v>
      </c>
      <c r="J39" s="37" t="n">
        <f aca="false">J25/$B$5/1000</f>
        <v>0.669838</v>
      </c>
      <c r="K39" s="37" t="n">
        <f aca="false">K25/$B$5/1000</f>
        <v>0.488772666666667</v>
      </c>
      <c r="M39" s="6"/>
    </row>
    <row r="40" customFormat="false" ht="15" hidden="false" customHeight="false" outlineLevel="0" collapsed="false">
      <c r="A40" s="29" t="s">
        <v>174</v>
      </c>
      <c r="B40" s="31" t="n">
        <f aca="false">B10/B17</f>
        <v>0.098687436277167</v>
      </c>
      <c r="C40" s="31" t="n">
        <f aca="false">C10/C17</f>
        <v>0.135225393155479</v>
      </c>
      <c r="D40" s="31" t="n">
        <f aca="false">D10/D17</f>
        <v>0.126266015066475</v>
      </c>
      <c r="E40" s="31" t="n">
        <f aca="false">E10/E17</f>
        <v>0.0608513879163877</v>
      </c>
      <c r="G40" s="36" t="s">
        <v>73</v>
      </c>
      <c r="H40" s="37" t="n">
        <f aca="false">B27/$B$5/1000</f>
        <v>59.1496866666667</v>
      </c>
      <c r="I40" s="37" t="n">
        <f aca="false">C27/$B$5/1000</f>
        <v>53.907906</v>
      </c>
      <c r="J40" s="37" t="n">
        <f aca="false">D27/$B$5/1000</f>
        <v>42.0008213333333</v>
      </c>
      <c r="K40" s="37" t="n">
        <f aca="false">E27/$B$5/1000</f>
        <v>36.0096353333333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4.83455490609525</v>
      </c>
      <c r="C41" s="30" t="n">
        <f aca="false">C15/C25</f>
        <v>4.50754296505001</v>
      </c>
      <c r="D41" s="30" t="n">
        <f aca="false">D15/D25</f>
        <v>3.74295925999221</v>
      </c>
      <c r="E41" s="30" t="n">
        <f aca="false">E15/E25</f>
        <v>3.24134748287001</v>
      </c>
      <c r="G41" s="33" t="s">
        <v>74</v>
      </c>
      <c r="H41" s="38" t="n">
        <f aca="false">SQRT(16*H39*H40)</f>
        <v>30.4540956952188</v>
      </c>
      <c r="I41" s="38" t="n">
        <f aca="false">SQRT(16*I39*I40)</f>
        <v>26.9642385375368</v>
      </c>
      <c r="J41" s="38" t="n">
        <f aca="false">SQRT(16*J39*J40)</f>
        <v>21.2165015628034</v>
      </c>
      <c r="K41" s="38" t="n">
        <f aca="false">SQRT(16*K39*K40)</f>
        <v>16.7811920852209</v>
      </c>
      <c r="M41" s="6"/>
    </row>
    <row r="42" customFormat="false" ht="15" hidden="false" customHeight="false" outlineLevel="0" collapsed="false">
      <c r="A42" s="29" t="s">
        <v>175</v>
      </c>
      <c r="B42" s="31" t="n">
        <f aca="false">B11/B17</f>
        <v>0.863115985351362</v>
      </c>
      <c r="C42" s="31" t="n">
        <f aca="false">C11/C17</f>
        <v>0.90255668956419</v>
      </c>
      <c r="D42" s="31" t="n">
        <f aca="false">D11/D17</f>
        <v>1.05053478595081</v>
      </c>
      <c r="E42" s="31" t="n">
        <f aca="false">E11/E17</f>
        <v>1.15437225729297</v>
      </c>
      <c r="G42" s="2" t="s">
        <v>176</v>
      </c>
      <c r="H42" s="39" t="n">
        <f aca="false">H39-(B25*0.08/1000/$B$5)</f>
        <v>0.00120207999999999</v>
      </c>
      <c r="I42" s="39" t="n">
        <f aca="false">I39-(C25*0.08/1000/$B$5)</f>
        <v>-0.11380504</v>
      </c>
      <c r="J42" s="39" t="n">
        <f aca="false">J39-(D25*0.08/1000/$B$5)</f>
        <v>-0.227864986666667</v>
      </c>
      <c r="K42" s="39" t="n">
        <f aca="false">K39-(E25*0.08/1000/$B$5)</f>
        <v>-0.399984506666667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" activeCellId="1" sqref="N10:Q10 F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">
        <v>0</v>
      </c>
      <c r="B4" s="76" t="n">
        <v>5300</v>
      </c>
      <c r="G4" s="6"/>
      <c r="M4" s="6"/>
    </row>
    <row r="5" customFormat="false" ht="15" hidden="false" customHeight="false" outlineLevel="0" collapsed="false">
      <c r="A5" s="2" t="s">
        <v>1</v>
      </c>
      <c r="B5" s="6" t="n">
        <v>400</v>
      </c>
      <c r="G5" s="6"/>
      <c r="M5" s="6"/>
    </row>
    <row r="6" customFormat="false" ht="15" hidden="false" customHeight="false" outlineLevel="0" collapsed="false">
      <c r="A6" s="2" t="s">
        <v>2</v>
      </c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120</v>
      </c>
      <c r="B8" s="12" t="n">
        <v>3728044</v>
      </c>
      <c r="C8" s="12" t="n">
        <v>6552141</v>
      </c>
      <c r="D8" s="12" t="n">
        <v>7306158</v>
      </c>
      <c r="E8" s="12" t="n">
        <v>7109044</v>
      </c>
      <c r="G8" s="23" t="s">
        <v>121</v>
      </c>
      <c r="H8" s="12" t="n">
        <v>2135479</v>
      </c>
      <c r="I8" s="12" t="n">
        <v>1954869</v>
      </c>
      <c r="J8" s="12" t="n">
        <v>1645129</v>
      </c>
      <c r="K8" s="12" t="n">
        <v>1220011</v>
      </c>
      <c r="M8" s="23" t="s">
        <v>8</v>
      </c>
      <c r="N8" s="12" t="n">
        <v>1469976</v>
      </c>
      <c r="O8" s="12" t="n">
        <v>1264431</v>
      </c>
      <c r="P8" s="12" t="n">
        <v>1004757</v>
      </c>
      <c r="Q8" s="12" t="n">
        <v>733159</v>
      </c>
    </row>
    <row r="9" customFormat="false" ht="15" hidden="false" customHeight="false" outlineLevel="0" collapsed="false">
      <c r="A9" s="23" t="s">
        <v>122</v>
      </c>
      <c r="B9" s="12" t="n">
        <v>4691538</v>
      </c>
      <c r="C9" s="12" t="n">
        <v>4908991</v>
      </c>
      <c r="D9" s="12" t="n">
        <v>3073795</v>
      </c>
      <c r="E9" s="12" t="n">
        <v>3138622</v>
      </c>
      <c r="G9" s="23" t="s">
        <v>123</v>
      </c>
      <c r="H9" s="12" t="n">
        <v>534939</v>
      </c>
      <c r="I9" s="12" t="n">
        <v>509787</v>
      </c>
      <c r="J9" s="12" t="n">
        <v>422182</v>
      </c>
      <c r="K9" s="12" t="n">
        <v>269128</v>
      </c>
      <c r="M9" s="23" t="s">
        <v>11</v>
      </c>
      <c r="N9" s="12" t="n">
        <v>160659</v>
      </c>
      <c r="O9" s="12" t="n">
        <v>153552</v>
      </c>
      <c r="P9" s="12" t="n">
        <v>154141</v>
      </c>
      <c r="Q9" s="12" t="n">
        <v>150254</v>
      </c>
    </row>
    <row r="10" customFormat="false" ht="15" hidden="false" customHeight="false" outlineLevel="0" collapsed="false">
      <c r="A10" s="23" t="s">
        <v>12</v>
      </c>
      <c r="B10" s="12" t="n">
        <v>11330155</v>
      </c>
      <c r="C10" s="12" t="n">
        <v>11460558</v>
      </c>
      <c r="D10" s="12" t="n">
        <v>12718614</v>
      </c>
      <c r="E10" s="12" t="n">
        <v>9098734</v>
      </c>
      <c r="G10" s="23" t="s">
        <v>124</v>
      </c>
      <c r="H10" s="12" t="n">
        <v>1600540</v>
      </c>
      <c r="I10" s="12" t="n">
        <v>1445082</v>
      </c>
      <c r="J10" s="12" t="n">
        <v>1222947</v>
      </c>
      <c r="K10" s="12" t="n">
        <v>950883</v>
      </c>
      <c r="M10" s="23" t="s">
        <v>125</v>
      </c>
      <c r="N10" s="14" t="n">
        <v>-54</v>
      </c>
      <c r="O10" s="14" t="n">
        <v>-455</v>
      </c>
      <c r="P10" s="12" t="n">
        <v>3932</v>
      </c>
      <c r="Q10" s="45" t="n">
        <v>0</v>
      </c>
    </row>
    <row r="11" customFormat="false" ht="15" hidden="false" customHeight="false" outlineLevel="0" collapsed="false">
      <c r="A11" s="23" t="s">
        <v>126</v>
      </c>
      <c r="B11" s="12" t="n">
        <v>41863473</v>
      </c>
      <c r="C11" s="12" t="n">
        <v>41244551</v>
      </c>
      <c r="D11" s="12" t="n">
        <v>34994759</v>
      </c>
      <c r="E11" s="12" t="n">
        <v>29896782</v>
      </c>
      <c r="G11" s="23" t="s">
        <v>127</v>
      </c>
      <c r="H11" s="12" t="n">
        <v>629869</v>
      </c>
      <c r="I11" s="12" t="n">
        <v>648052</v>
      </c>
      <c r="J11" s="12" t="n">
        <v>468090</v>
      </c>
      <c r="K11" s="12" t="n">
        <v>564184</v>
      </c>
      <c r="M11" s="23" t="s">
        <v>128</v>
      </c>
      <c r="N11" s="12" t="n">
        <v>307765</v>
      </c>
      <c r="O11" s="12" t="n">
        <v>161673</v>
      </c>
      <c r="P11" s="12" t="n">
        <v>274224</v>
      </c>
      <c r="Q11" s="12" t="n">
        <v>154373</v>
      </c>
    </row>
    <row r="12" customFormat="false" ht="15" hidden="false" customHeight="false" outlineLevel="0" collapsed="false">
      <c r="A12" s="23" t="s">
        <v>129</v>
      </c>
      <c r="B12" s="12" t="n">
        <v>679088</v>
      </c>
      <c r="C12" s="12" t="n">
        <v>598920</v>
      </c>
      <c r="D12" s="12" t="n">
        <v>507766</v>
      </c>
      <c r="E12" s="12" t="n">
        <v>466103</v>
      </c>
      <c r="G12" s="23" t="s">
        <v>130</v>
      </c>
      <c r="H12" s="12" t="n">
        <v>90065</v>
      </c>
      <c r="I12" s="12" t="n">
        <v>56822</v>
      </c>
      <c r="J12" s="12" t="n">
        <v>34784</v>
      </c>
      <c r="K12" s="12" t="n">
        <v>23740</v>
      </c>
      <c r="M12" s="23" t="s">
        <v>131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132</v>
      </c>
      <c r="B13" s="12" t="n">
        <v>971836</v>
      </c>
      <c r="C13" s="12" t="n">
        <v>1788768</v>
      </c>
      <c r="D13" s="12" t="n">
        <v>1375316</v>
      </c>
      <c r="E13" s="12" t="n">
        <v>1247237</v>
      </c>
      <c r="G13" s="23" t="s">
        <v>133</v>
      </c>
      <c r="H13" s="12" t="n">
        <v>11171</v>
      </c>
      <c r="I13" s="12" t="n">
        <v>30444</v>
      </c>
      <c r="J13" s="12" t="n">
        <v>55738</v>
      </c>
      <c r="K13" s="12" t="n">
        <v>35915</v>
      </c>
      <c r="M13" s="23" t="s">
        <v>134</v>
      </c>
      <c r="N13" s="12" t="n">
        <v>20663</v>
      </c>
      <c r="O13" s="12" t="n">
        <v>5931</v>
      </c>
      <c r="P13" s="12" t="n">
        <v>3952</v>
      </c>
      <c r="Q13" s="12" t="n">
        <v>10676</v>
      </c>
    </row>
    <row r="14" customFormat="false" ht="15" hidden="false" customHeight="false" outlineLevel="0" collapsed="false">
      <c r="A14" s="23" t="s">
        <v>135</v>
      </c>
      <c r="B14" s="45"/>
      <c r="C14" s="45" t="n">
        <v>0</v>
      </c>
      <c r="D14" s="45"/>
      <c r="E14" s="45" t="n">
        <v>0</v>
      </c>
      <c r="G14" s="23" t="s">
        <v>136</v>
      </c>
      <c r="H14" s="12" t="n">
        <v>250</v>
      </c>
      <c r="I14" s="12" t="n">
        <v>3684</v>
      </c>
      <c r="J14" s="12" t="n">
        <v>23432</v>
      </c>
      <c r="K14" s="45" t="n">
        <v>0</v>
      </c>
      <c r="M14" s="23" t="s">
        <v>122</v>
      </c>
      <c r="N14" s="14" t="n">
        <v>-3267576</v>
      </c>
      <c r="O14" s="14" t="n">
        <v>-5163062</v>
      </c>
      <c r="P14" s="14" t="n">
        <v>-2382896</v>
      </c>
      <c r="Q14" s="12" t="n">
        <v>1518324</v>
      </c>
    </row>
    <row r="15" customFormat="false" ht="15" hidden="false" customHeight="false" outlineLevel="0" collapsed="false">
      <c r="A15" s="23" t="s">
        <v>20</v>
      </c>
      <c r="B15" s="12" t="n">
        <v>63264134</v>
      </c>
      <c r="C15" s="12" t="n">
        <v>66553929</v>
      </c>
      <c r="D15" s="12" t="n">
        <v>59976408</v>
      </c>
      <c r="E15" s="12" t="n">
        <v>50956522</v>
      </c>
      <c r="G15" s="23" t="s">
        <v>137</v>
      </c>
      <c r="H15" s="12" t="n">
        <v>1874</v>
      </c>
      <c r="I15" s="12" t="n">
        <v>2670</v>
      </c>
      <c r="J15" s="12" t="n">
        <v>6407</v>
      </c>
      <c r="K15" s="12" t="n">
        <v>10800</v>
      </c>
      <c r="M15" s="23" t="s">
        <v>135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138</v>
      </c>
      <c r="B16" s="12" t="n">
        <v>4054511</v>
      </c>
      <c r="C16" s="12" t="n">
        <v>3736476</v>
      </c>
      <c r="D16" s="12" t="n">
        <v>4358738</v>
      </c>
      <c r="E16" s="12" t="n">
        <v>3286044</v>
      </c>
      <c r="G16" s="23" t="s">
        <v>139</v>
      </c>
      <c r="H16" s="12" t="n">
        <v>587752</v>
      </c>
      <c r="I16" s="12" t="n">
        <v>39491</v>
      </c>
      <c r="J16" s="12" t="n">
        <v>27909</v>
      </c>
      <c r="K16" s="12" t="n">
        <v>15433</v>
      </c>
      <c r="M16" s="23" t="s">
        <v>126</v>
      </c>
      <c r="N16" s="14" t="n">
        <v>-3129243</v>
      </c>
      <c r="O16" s="14" t="n">
        <v>-8857957</v>
      </c>
      <c r="P16" s="14" t="n">
        <v>-7970143</v>
      </c>
      <c r="Q16" s="14" t="n">
        <v>-12080965</v>
      </c>
    </row>
    <row r="17" customFormat="false" ht="15" hidden="false" customHeight="false" outlineLevel="0" collapsed="false">
      <c r="A17" s="23" t="s">
        <v>140</v>
      </c>
      <c r="B17" s="12" t="n">
        <v>50673599</v>
      </c>
      <c r="C17" s="12" t="n">
        <v>55569273</v>
      </c>
      <c r="D17" s="12" t="n">
        <v>49082525</v>
      </c>
      <c r="E17" s="12" t="n">
        <v>41675290</v>
      </c>
      <c r="G17" s="23" t="s">
        <v>141</v>
      </c>
      <c r="H17" s="12" t="n">
        <f aca="false">H10+H11+H12+H13+H14+H15+H16</f>
        <v>2921521</v>
      </c>
      <c r="I17" s="12" t="n">
        <v>2226245</v>
      </c>
      <c r="J17" s="12" t="n">
        <v>1839307</v>
      </c>
      <c r="K17" s="12" t="n">
        <v>1600955</v>
      </c>
      <c r="M17" s="23" t="s">
        <v>17</v>
      </c>
      <c r="N17" s="14" t="n">
        <v>-648448</v>
      </c>
      <c r="O17" s="14" t="n">
        <v>-762</v>
      </c>
      <c r="P17" s="14" t="n">
        <v>-450389</v>
      </c>
      <c r="Q17" s="14" t="n">
        <v>-347294</v>
      </c>
    </row>
    <row r="18" customFormat="false" ht="15" hidden="false" customHeight="false" outlineLevel="0" collapsed="false">
      <c r="A18" s="23" t="s">
        <v>28</v>
      </c>
      <c r="B18" s="12" t="n">
        <v>1122555</v>
      </c>
      <c r="C18" s="12" t="n">
        <v>1090134</v>
      </c>
      <c r="D18" s="12" t="n">
        <v>806600</v>
      </c>
      <c r="E18" s="12" t="n">
        <v>983335</v>
      </c>
      <c r="G18" s="23" t="s">
        <v>142</v>
      </c>
      <c r="H18" s="12" t="n">
        <v>908901</v>
      </c>
      <c r="I18" s="12" t="n">
        <v>721872</v>
      </c>
      <c r="J18" s="12" t="n">
        <v>629982</v>
      </c>
      <c r="K18" s="12" t="n">
        <v>574831</v>
      </c>
      <c r="M18" s="23" t="s">
        <v>143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144</v>
      </c>
      <c r="B19" s="12" t="n">
        <v>55850665</v>
      </c>
      <c r="C19" s="12" t="n">
        <v>60395883</v>
      </c>
      <c r="D19" s="12" t="n">
        <v>54247863</v>
      </c>
      <c r="E19" s="12" t="n">
        <v>45944669</v>
      </c>
      <c r="G19" s="23" t="s">
        <v>145</v>
      </c>
      <c r="H19" s="12" t="n">
        <v>136492</v>
      </c>
      <c r="I19" s="12" t="n">
        <v>112514</v>
      </c>
      <c r="J19" s="12" t="n">
        <v>86537</v>
      </c>
      <c r="K19" s="12" t="n">
        <v>68589</v>
      </c>
      <c r="M19" s="23" t="s">
        <v>138</v>
      </c>
      <c r="N19" s="12" t="n">
        <v>2231017</v>
      </c>
      <c r="O19" s="14" t="n">
        <v>-168079</v>
      </c>
      <c r="P19" s="14" t="n">
        <v>-2213796</v>
      </c>
      <c r="Q19" s="14" t="n">
        <v>-28344</v>
      </c>
    </row>
    <row r="20" customFormat="false" ht="15" hidden="false" customHeight="false" outlineLevel="0" collapsed="false">
      <c r="A20" s="23" t="s">
        <v>146</v>
      </c>
      <c r="B20" s="12" t="n">
        <v>4000000</v>
      </c>
      <c r="C20" s="12" t="n">
        <v>4000000</v>
      </c>
      <c r="D20" s="12" t="n">
        <v>3000000</v>
      </c>
      <c r="E20" s="12" t="n">
        <v>3000000</v>
      </c>
      <c r="G20" s="23" t="s">
        <v>11</v>
      </c>
      <c r="H20" s="12" t="n">
        <v>79014</v>
      </c>
      <c r="I20" s="12" t="n">
        <v>79394</v>
      </c>
      <c r="J20" s="12" t="n">
        <v>71417</v>
      </c>
      <c r="K20" s="12" t="n">
        <v>65508</v>
      </c>
      <c r="M20" s="23" t="s">
        <v>147</v>
      </c>
      <c r="N20" s="12" t="n">
        <v>6096758</v>
      </c>
      <c r="O20" s="12" t="n">
        <v>16648128</v>
      </c>
      <c r="P20" s="12" t="n">
        <v>10554420</v>
      </c>
      <c r="Q20" s="12" t="n">
        <v>14437328</v>
      </c>
    </row>
    <row r="21" customFormat="false" ht="15" hidden="false" customHeight="false" outlineLevel="0" collapsed="false">
      <c r="A21" s="23" t="s">
        <v>148</v>
      </c>
      <c r="B21" s="12" t="n">
        <v>68000</v>
      </c>
      <c r="C21" s="12" t="n">
        <v>68000</v>
      </c>
      <c r="D21" s="12" t="n">
        <v>68000</v>
      </c>
      <c r="E21" s="12" t="n">
        <v>68000</v>
      </c>
      <c r="G21" s="23" t="s">
        <v>149</v>
      </c>
      <c r="H21" s="12" t="n">
        <v>460035</v>
      </c>
      <c r="I21" s="12" t="n">
        <v>360730</v>
      </c>
      <c r="J21" s="12" t="n">
        <v>263381</v>
      </c>
      <c r="K21" s="12" t="n">
        <v>219068</v>
      </c>
      <c r="M21" s="23" t="s">
        <v>28</v>
      </c>
      <c r="N21" s="14" t="n">
        <v>-895106</v>
      </c>
      <c r="O21" s="12" t="n">
        <v>256203</v>
      </c>
      <c r="P21" s="12" t="n">
        <v>481789</v>
      </c>
      <c r="Q21" s="12" t="n">
        <v>2051927</v>
      </c>
    </row>
    <row r="22" customFormat="false" ht="15" hidden="false" customHeight="false" outlineLevel="0" collapsed="false">
      <c r="A22" s="23" t="s">
        <v>150</v>
      </c>
      <c r="B22" s="12" t="n">
        <v>1727119</v>
      </c>
      <c r="C22" s="12" t="n">
        <v>1405500</v>
      </c>
      <c r="D22" s="12" t="n">
        <v>1762500</v>
      </c>
      <c r="E22" s="12" t="n">
        <v>1599500</v>
      </c>
      <c r="G22" s="23" t="s">
        <v>151</v>
      </c>
      <c r="H22" s="12" t="n">
        <v>53063</v>
      </c>
      <c r="I22" s="12" t="n">
        <v>383107</v>
      </c>
      <c r="J22" s="12" t="n">
        <v>136343</v>
      </c>
      <c r="K22" s="12" t="n">
        <v>172479</v>
      </c>
      <c r="M22" s="23" t="s">
        <v>152</v>
      </c>
      <c r="N22" s="12" t="n">
        <v>2346411</v>
      </c>
      <c r="O22" s="12" t="n">
        <v>4299603</v>
      </c>
      <c r="P22" s="14" t="n">
        <v>-540009</v>
      </c>
      <c r="Q22" s="12" t="n">
        <v>6599438</v>
      </c>
    </row>
    <row r="23" customFormat="false" ht="15" hidden="false" customHeight="false" outlineLevel="0" collapsed="false">
      <c r="A23" s="23" t="s">
        <v>153</v>
      </c>
      <c r="B23" s="12" t="n">
        <v>1791006</v>
      </c>
      <c r="C23" s="12" t="n">
        <v>825863</v>
      </c>
      <c r="D23" s="12" t="n">
        <v>896396</v>
      </c>
      <c r="E23" s="12" t="n">
        <v>381997</v>
      </c>
      <c r="G23" s="23" t="s">
        <v>154</v>
      </c>
      <c r="H23" s="12" t="n">
        <v>1637505</v>
      </c>
      <c r="I23" s="12" t="n">
        <v>1657617</v>
      </c>
      <c r="J23" s="12" t="n">
        <v>1187660</v>
      </c>
      <c r="K23" s="12" t="n">
        <v>1100475</v>
      </c>
      <c r="M23" s="23" t="s">
        <v>155</v>
      </c>
      <c r="N23" s="12" t="n">
        <v>22172</v>
      </c>
      <c r="O23" s="12" t="n">
        <v>17531</v>
      </c>
      <c r="P23" s="45"/>
      <c r="Q23" s="45" t="n">
        <v>0</v>
      </c>
    </row>
    <row r="24" customFormat="false" ht="15" hidden="false" customHeight="false" outlineLevel="0" collapsed="false">
      <c r="A24" s="23" t="s">
        <v>156</v>
      </c>
      <c r="B24" s="14" t="n">
        <v>-172656</v>
      </c>
      <c r="C24" s="14" t="n">
        <v>-141317</v>
      </c>
      <c r="D24" s="12" t="n">
        <v>1649</v>
      </c>
      <c r="E24" s="14" t="n">
        <v>-37644</v>
      </c>
      <c r="G24" s="23" t="s">
        <v>157</v>
      </c>
      <c r="H24" s="12" t="n">
        <v>3103</v>
      </c>
      <c r="I24" s="12" t="n">
        <v>3839</v>
      </c>
      <c r="J24" s="14" t="n">
        <v>-1011</v>
      </c>
      <c r="K24" s="45" t="n">
        <v>0</v>
      </c>
      <c r="M24" s="23" t="s">
        <v>158</v>
      </c>
      <c r="N24" s="45"/>
      <c r="O24" s="45"/>
      <c r="P24" s="45"/>
      <c r="Q24" s="45" t="n">
        <v>0</v>
      </c>
    </row>
    <row r="25" customFormat="false" ht="15" hidden="false" customHeight="false" outlineLevel="0" collapsed="false">
      <c r="A25" s="23" t="s">
        <v>31</v>
      </c>
      <c r="B25" s="12" t="n">
        <v>7413469</v>
      </c>
      <c r="C25" s="12" t="n">
        <v>6158046</v>
      </c>
      <c r="D25" s="12" t="n">
        <v>5728545</v>
      </c>
      <c r="E25" s="12" t="n">
        <v>5011853</v>
      </c>
      <c r="G25" s="23" t="s">
        <v>159</v>
      </c>
      <c r="H25" s="12" t="n">
        <f aca="false">H17-H23+H24</f>
        <v>1287119</v>
      </c>
      <c r="I25" s="12" t="n">
        <v>572467</v>
      </c>
      <c r="J25" s="12" t="n">
        <v>650636</v>
      </c>
      <c r="K25" s="12" t="n">
        <v>500480</v>
      </c>
      <c r="M25" s="23" t="s">
        <v>160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161</v>
      </c>
      <c r="H26" s="12" t="n">
        <v>825863</v>
      </c>
      <c r="I26" s="12" t="n">
        <v>896396</v>
      </c>
      <c r="J26" s="12" t="n">
        <v>381997</v>
      </c>
      <c r="K26" s="12" t="n">
        <v>6287</v>
      </c>
      <c r="M26" s="23" t="s">
        <v>27</v>
      </c>
      <c r="N26" s="14" t="n">
        <v>-246149</v>
      </c>
      <c r="O26" s="14" t="n">
        <v>-225437</v>
      </c>
      <c r="P26" s="14" t="n">
        <v>-219120</v>
      </c>
      <c r="Q26" s="14" t="n">
        <v>-218833</v>
      </c>
    </row>
    <row r="27" customFormat="false" ht="15" hidden="false" customHeight="false" outlineLevel="0" collapsed="false">
      <c r="A27" s="23" t="s">
        <v>37</v>
      </c>
      <c r="B27" s="12" t="n">
        <v>63264134</v>
      </c>
      <c r="C27" s="12" t="n">
        <v>66553929</v>
      </c>
      <c r="D27" s="12" t="n">
        <v>59976408</v>
      </c>
      <c r="E27" s="12" t="n">
        <v>50956522</v>
      </c>
      <c r="G27" s="23" t="s">
        <v>162</v>
      </c>
      <c r="H27" s="14" t="n">
        <v>-321619</v>
      </c>
      <c r="I27" s="14" t="n">
        <v>-143000</v>
      </c>
      <c r="J27" s="12" t="n">
        <v>136237</v>
      </c>
      <c r="K27" s="12" t="n">
        <v>125500</v>
      </c>
      <c r="M27" s="23" t="s">
        <v>163</v>
      </c>
      <c r="N27" s="12" t="n">
        <v>118</v>
      </c>
      <c r="O27" s="12" t="n">
        <v>3674</v>
      </c>
      <c r="P27" s="12" t="n">
        <v>33959</v>
      </c>
      <c r="Q27" s="45" t="n">
        <v>0</v>
      </c>
    </row>
    <row r="28" customFormat="false" ht="15" hidden="false" customHeight="false" outlineLevel="0" collapsed="false">
      <c r="A28" s="23" t="s">
        <v>164</v>
      </c>
      <c r="B28" s="45"/>
      <c r="C28" s="45"/>
      <c r="D28" s="45"/>
      <c r="E28" s="45" t="n">
        <v>0</v>
      </c>
      <c r="G28" s="23" t="s">
        <v>165</v>
      </c>
      <c r="H28" s="45" t="n">
        <v>0</v>
      </c>
      <c r="I28" s="45" t="n">
        <v>0</v>
      </c>
      <c r="J28" s="17" t="n">
        <v>0</v>
      </c>
      <c r="K28" s="45" t="n">
        <v>0</v>
      </c>
      <c r="M28" s="23" t="s">
        <v>166</v>
      </c>
      <c r="N28" s="14" t="n">
        <v>-223859</v>
      </c>
      <c r="O28" s="14" t="n">
        <v>-204232</v>
      </c>
      <c r="P28" s="14" t="n">
        <v>-185161</v>
      </c>
      <c r="Q28" s="14" t="n">
        <v>-218833</v>
      </c>
    </row>
    <row r="29" customFormat="false" ht="15" hidden="false" customHeight="false" outlineLevel="0" collapsed="false">
      <c r="A29" s="6"/>
      <c r="G29" s="23" t="s">
        <v>45</v>
      </c>
      <c r="H29" s="14" t="n">
        <v>-357</v>
      </c>
      <c r="I29" s="14" t="n">
        <v>-500000</v>
      </c>
      <c r="J29" s="45"/>
      <c r="K29" s="14" t="n">
        <v>-730</v>
      </c>
      <c r="M29" s="23" t="s">
        <v>167</v>
      </c>
      <c r="N29" s="45"/>
      <c r="O29" s="45"/>
      <c r="P29" s="45"/>
      <c r="Q29" s="45" t="n">
        <v>0</v>
      </c>
    </row>
    <row r="30" customFormat="false" ht="15" hidden="false" customHeight="false" outlineLevel="0" collapsed="false">
      <c r="A30" s="6"/>
      <c r="G30" s="23" t="s">
        <v>168</v>
      </c>
      <c r="H30" s="12" t="n">
        <v>1791006</v>
      </c>
      <c r="I30" s="12" t="n">
        <v>825863</v>
      </c>
      <c r="J30" s="12" t="n">
        <v>896396</v>
      </c>
      <c r="K30" s="12" t="n">
        <v>381997</v>
      </c>
      <c r="M30" s="23" t="s">
        <v>169</v>
      </c>
      <c r="N30" s="14" t="n">
        <v>-1081108</v>
      </c>
      <c r="O30" s="14" t="n">
        <v>-70000</v>
      </c>
      <c r="P30" s="14" t="n">
        <v>-100000</v>
      </c>
      <c r="Q30" s="45" t="n">
        <v>0</v>
      </c>
    </row>
    <row r="31" customFormat="false" ht="15" hidden="false" customHeight="false" outlineLevel="0" collapsed="false">
      <c r="A31" s="6"/>
      <c r="G31" s="6"/>
      <c r="M31" s="23" t="s">
        <v>170</v>
      </c>
      <c r="N31" s="12" t="n">
        <v>1041444</v>
      </c>
      <c r="O31" s="12" t="n">
        <v>4025371</v>
      </c>
      <c r="P31" s="14" t="n">
        <v>-825170</v>
      </c>
      <c r="Q31" s="12" t="n">
        <v>6380605</v>
      </c>
    </row>
    <row r="32" customFormat="false" ht="15" hidden="false" customHeight="false" outlineLevel="0" collapsed="false">
      <c r="A32" s="6"/>
      <c r="G32" s="6"/>
      <c r="M32" s="23" t="s">
        <v>171</v>
      </c>
      <c r="N32" s="12" t="n">
        <v>10066103</v>
      </c>
      <c r="O32" s="12" t="n">
        <v>6040732</v>
      </c>
      <c r="P32" s="12" t="n">
        <v>6865902</v>
      </c>
      <c r="Q32" s="12" t="n">
        <v>485297</v>
      </c>
    </row>
    <row r="33" customFormat="false" ht="15" hidden="false" customHeight="false" outlineLevel="0" collapsed="false">
      <c r="A33" s="6"/>
      <c r="G33" s="6"/>
      <c r="M33" s="23" t="s">
        <v>172</v>
      </c>
      <c r="N33" s="12" t="n">
        <v>11107547</v>
      </c>
      <c r="O33" s="12" t="n">
        <v>10066103</v>
      </c>
      <c r="P33" s="12" t="n">
        <v>6040732</v>
      </c>
      <c r="Q33" s="12" t="n">
        <v>6865902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114</v>
      </c>
      <c r="N34" s="4" t="n">
        <f aca="false">N22-N26</f>
        <v>2592560</v>
      </c>
      <c r="O34" s="4" t="n">
        <f aca="false">O22-O26</f>
        <v>4525040</v>
      </c>
      <c r="P34" s="4" t="n">
        <f aca="false">P22-P26</f>
        <v>-320889</v>
      </c>
      <c r="Q34" s="4" t="n">
        <f aca="false">Q22-Q26</f>
        <v>6818271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0.0461797358990167</v>
      </c>
      <c r="C35" s="31" t="n">
        <f aca="false">I17/C15</f>
        <v>0.0334502415326975</v>
      </c>
      <c r="D35" s="31" t="n">
        <f aca="false">J17/D15</f>
        <v>0.0306671749998766</v>
      </c>
      <c r="E35" s="31" t="n">
        <f aca="false">K17/E15</f>
        <v>0.0314180587128768</v>
      </c>
      <c r="F35" s="31"/>
      <c r="G35" s="29" t="s">
        <v>61</v>
      </c>
      <c r="H35" s="31" t="n">
        <f aca="false">H21/H17</f>
        <v>0.157464211278988</v>
      </c>
      <c r="I35" s="31" t="n">
        <f aca="false">I21/I17</f>
        <v>0.162035175822967</v>
      </c>
      <c r="J35" s="31" t="n">
        <f aca="false">J21/J17</f>
        <v>0.14319577971486</v>
      </c>
      <c r="K35" s="31" t="n">
        <f aca="false">K21/K17</f>
        <v>0.136835826116287</v>
      </c>
      <c r="M35" s="6"/>
    </row>
    <row r="36" customFormat="false" ht="15" hidden="false" customHeight="false" outlineLevel="0" collapsed="false">
      <c r="A36" s="29" t="s">
        <v>62</v>
      </c>
      <c r="B36" s="31" t="n">
        <f aca="false">H17/B25</f>
        <v>0.394082851091709</v>
      </c>
      <c r="C36" s="31" t="n">
        <f aca="false">I17/C25</f>
        <v>0.361518085444636</v>
      </c>
      <c r="D36" s="31" t="n">
        <f aca="false">J17/D25</f>
        <v>0.32107751619303</v>
      </c>
      <c r="E36" s="31" t="n">
        <f aca="false">K17/E25</f>
        <v>0.319433750351417</v>
      </c>
      <c r="G36" s="29"/>
      <c r="H36" s="31"/>
      <c r="I36" s="31"/>
      <c r="J36" s="31"/>
      <c r="K36" s="31"/>
      <c r="M36" s="6"/>
    </row>
    <row r="37" customFormat="false" ht="15" hidden="false" customHeight="false" outlineLevel="0" collapsed="false">
      <c r="A37" s="29" t="s">
        <v>173</v>
      </c>
      <c r="B37" s="49" t="n">
        <f aca="false">H25/(B15-B12-B13)</f>
        <v>0.0208903090749532</v>
      </c>
      <c r="C37" s="49" t="n">
        <f aca="false">I25/(C15-C12-C13)</f>
        <v>0.00892162282032385</v>
      </c>
      <c r="D37" s="49" t="n">
        <f aca="false">J25/(D15-D12-D13)</f>
        <v>0.0111998407527915</v>
      </c>
      <c r="E37" s="49" t="n">
        <f aca="false">K25/(E15-E12-E13)</f>
        <v>0.0101634374480512</v>
      </c>
      <c r="G37" s="29" t="s">
        <v>64</v>
      </c>
      <c r="H37" s="31" t="n">
        <f aca="false">H25/H22</f>
        <v>24.2564310348077</v>
      </c>
      <c r="I37" s="31" t="n">
        <f aca="false">I25/I22</f>
        <v>1.49427444552044</v>
      </c>
      <c r="J37" s="31" t="n">
        <f aca="false">J25/J22</f>
        <v>4.77205283732938</v>
      </c>
      <c r="K37" s="31" t="n">
        <f aca="false">K25/K22</f>
        <v>2.90168658213464</v>
      </c>
      <c r="M37" s="6"/>
    </row>
    <row r="38" customFormat="false" ht="15" hidden="false" customHeight="false" outlineLevel="0" collapsed="false">
      <c r="A38" s="29" t="s">
        <v>65</v>
      </c>
      <c r="B38" s="31" t="n">
        <f aca="false">B19/B15</f>
        <v>0.882817189910479</v>
      </c>
      <c r="C38" s="31" t="n">
        <f aca="false">C19/C15</f>
        <v>0.90747284055912</v>
      </c>
      <c r="D38" s="31" t="n">
        <f aca="false">D19/D15</f>
        <v>0.904486694168147</v>
      </c>
      <c r="E38" s="31" t="n">
        <f aca="false">E19/E15</f>
        <v>0.901644523541069</v>
      </c>
      <c r="G38" s="29" t="s">
        <v>66</v>
      </c>
      <c r="H38" s="31" t="n">
        <f aca="false">H23/H17</f>
        <v>0.560497425827163</v>
      </c>
      <c r="I38" s="31" t="n">
        <f aca="false">I23/I17</f>
        <v>0.744579774463278</v>
      </c>
      <c r="J38" s="31" t="n">
        <f aca="false">J23/J17</f>
        <v>0.645710585562932</v>
      </c>
      <c r="K38" s="31" t="n">
        <f aca="false">K23/K17</f>
        <v>0.68738659112842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7.53367485586033</v>
      </c>
      <c r="C39" s="31" t="n">
        <f aca="false">C19/C25</f>
        <v>9.80763752008348</v>
      </c>
      <c r="D39" s="31" t="n">
        <f aca="false">D19/D25</f>
        <v>9.46974545892543</v>
      </c>
      <c r="E39" s="31" t="n">
        <f aca="false">E19/E25</f>
        <v>9.16720203086563</v>
      </c>
      <c r="G39" s="36" t="s">
        <v>72</v>
      </c>
      <c r="H39" s="37" t="n">
        <f aca="false">H25/$B$5/1000</f>
        <v>3.2177975</v>
      </c>
      <c r="I39" s="37" t="n">
        <f aca="false">I25/$B$5/1000</f>
        <v>1.4311675</v>
      </c>
      <c r="J39" s="37" t="n">
        <f aca="false">J25/$B$5/1000</f>
        <v>1.62659</v>
      </c>
      <c r="K39" s="37" t="n">
        <f aca="false">K25/$B$5/1000</f>
        <v>1.2512</v>
      </c>
      <c r="M39" s="6"/>
    </row>
    <row r="40" customFormat="false" ht="15" hidden="false" customHeight="false" outlineLevel="0" collapsed="false">
      <c r="A40" s="29" t="s">
        <v>174</v>
      </c>
      <c r="B40" s="31" t="n">
        <f aca="false">B10/B17</f>
        <v>0.2235908880283</v>
      </c>
      <c r="C40" s="31" t="n">
        <f aca="false">C10/C17</f>
        <v>0.206239120673758</v>
      </c>
      <c r="D40" s="31" t="n">
        <f aca="false">D10/D17</f>
        <v>0.259127133333096</v>
      </c>
      <c r="E40" s="31" t="n">
        <f aca="false">E10/E17</f>
        <v>0.218324431575641</v>
      </c>
      <c r="G40" s="36" t="s">
        <v>73</v>
      </c>
      <c r="H40" s="37" t="n">
        <f aca="false">B27/$B$5/1000</f>
        <v>158.160335</v>
      </c>
      <c r="I40" s="37" t="n">
        <f aca="false">C27/$B$5/1000</f>
        <v>166.3848225</v>
      </c>
      <c r="J40" s="37" t="n">
        <f aca="false">D27/$B$5/1000</f>
        <v>149.94102</v>
      </c>
      <c r="K40" s="37" t="n">
        <f aca="false">E27/$B$5/1000</f>
        <v>127.391305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8.53367485586033</v>
      </c>
      <c r="C41" s="30" t="n">
        <f aca="false">C15/C25</f>
        <v>10.8076375200835</v>
      </c>
      <c r="D41" s="30" t="n">
        <f aca="false">D15/D25</f>
        <v>10.4697454589254</v>
      </c>
      <c r="E41" s="30" t="n">
        <f aca="false">E15/E25</f>
        <v>10.1672020308656</v>
      </c>
      <c r="G41" s="33" t="s">
        <v>74</v>
      </c>
      <c r="H41" s="38" t="n">
        <f aca="false">SQRT(16*H39*H40)</f>
        <v>90.2377243119229</v>
      </c>
      <c r="I41" s="38" t="n">
        <f aca="false">SQRT(16*I39*I40)</f>
        <v>61.725139184001</v>
      </c>
      <c r="J41" s="38" t="n">
        <f aca="false">SQRT(16*J39*J40)</f>
        <v>62.4682400868537</v>
      </c>
      <c r="K41" s="38" t="n">
        <f aca="false">SQRT(16*K39*K40)</f>
        <v>50.5002179505792</v>
      </c>
      <c r="M41" s="6"/>
    </row>
    <row r="42" customFormat="false" ht="15" hidden="false" customHeight="false" outlineLevel="0" collapsed="false">
      <c r="A42" s="29" t="s">
        <v>175</v>
      </c>
      <c r="B42" s="31" t="n">
        <f aca="false">B11/B17</f>
        <v>0.826139722185511</v>
      </c>
      <c r="C42" s="31" t="n">
        <f aca="false">C11/C17</f>
        <v>0.74221865382331</v>
      </c>
      <c r="D42" s="31" t="n">
        <f aca="false">D11/D17</f>
        <v>0.712977969246692</v>
      </c>
      <c r="E42" s="31" t="n">
        <f aca="false">E11/E17</f>
        <v>0.717374300214828</v>
      </c>
      <c r="G42" s="2" t="s">
        <v>176</v>
      </c>
      <c r="H42" s="39" t="n">
        <f aca="false">H39-(B25*0.1/1000/$B$5)</f>
        <v>1.36443025</v>
      </c>
      <c r="I42" s="39" t="n">
        <f aca="false">I39-(C25*0.1/1000/$B$5)</f>
        <v>-0.108344</v>
      </c>
      <c r="J42" s="39" t="n">
        <f aca="false">J39-(D25*0.1/1000/$B$5)</f>
        <v>0.19445375</v>
      </c>
      <c r="K42" s="39" t="n">
        <f aca="false">K39-(E25*0.1/1000/$B$5)</f>
        <v>-0.00176324999999999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/>
      <c r="B5" s="2" t="n">
        <v>1500</v>
      </c>
      <c r="G5" s="6"/>
      <c r="M5" s="6"/>
    </row>
    <row r="6" customFormat="false" ht="15" hidden="false" customHeight="false" outlineLevel="0" collapsed="false">
      <c r="A6" s="2"/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120</v>
      </c>
      <c r="B8" s="12" t="n">
        <v>27053716</v>
      </c>
      <c r="C8" s="12" t="n">
        <v>33585377</v>
      </c>
      <c r="D8" s="12" t="n">
        <v>29970266</v>
      </c>
      <c r="E8" s="12" t="n">
        <v>30804122</v>
      </c>
      <c r="G8" s="23" t="s">
        <v>121</v>
      </c>
      <c r="H8" s="17"/>
      <c r="I8" s="17"/>
      <c r="J8" s="17"/>
      <c r="K8" s="17" t="n">
        <v>0</v>
      </c>
      <c r="M8" s="23" t="s">
        <v>8</v>
      </c>
      <c r="N8" s="12" t="n">
        <v>7130075</v>
      </c>
      <c r="O8" s="12" t="n">
        <v>6836172</v>
      </c>
      <c r="P8" s="12" t="n">
        <v>7437987</v>
      </c>
      <c r="Q8" s="12" t="n">
        <v>7884706</v>
      </c>
    </row>
    <row r="9" customFormat="false" ht="15" hidden="false" customHeight="false" outlineLevel="0" collapsed="false">
      <c r="A9" s="23" t="s">
        <v>122</v>
      </c>
      <c r="B9" s="12" t="n">
        <v>26911056</v>
      </c>
      <c r="C9" s="12" t="n">
        <v>16516208</v>
      </c>
      <c r="D9" s="12" t="n">
        <v>15462510</v>
      </c>
      <c r="E9" s="12" t="n">
        <v>16557189</v>
      </c>
      <c r="G9" s="23" t="s">
        <v>123</v>
      </c>
      <c r="H9" s="17"/>
      <c r="I9" s="17"/>
      <c r="J9" s="17"/>
      <c r="K9" s="17" t="n">
        <v>0</v>
      </c>
      <c r="M9" s="23" t="s">
        <v>11</v>
      </c>
      <c r="N9" s="12" t="n">
        <v>374099</v>
      </c>
      <c r="O9" s="12" t="n">
        <v>412716</v>
      </c>
      <c r="P9" s="12" t="n">
        <v>404553</v>
      </c>
      <c r="Q9" s="12" t="n">
        <v>401699</v>
      </c>
    </row>
    <row r="10" customFormat="false" ht="15" hidden="false" customHeight="false" outlineLevel="0" collapsed="false">
      <c r="A10" s="23" t="s">
        <v>12</v>
      </c>
      <c r="B10" s="12" t="n">
        <v>251444732</v>
      </c>
      <c r="C10" s="12" t="n">
        <v>248489583</v>
      </c>
      <c r="D10" s="12" t="n">
        <v>226386283</v>
      </c>
      <c r="E10" s="12" t="n">
        <v>212821539</v>
      </c>
      <c r="G10" s="23" t="s">
        <v>124</v>
      </c>
      <c r="H10" s="17" t="n">
        <v>0</v>
      </c>
      <c r="I10" s="17" t="n">
        <v>0</v>
      </c>
      <c r="J10" s="17" t="n">
        <v>0</v>
      </c>
      <c r="K10" s="17" t="n">
        <v>0</v>
      </c>
      <c r="M10" s="23" t="s">
        <v>125</v>
      </c>
      <c r="N10" s="14" t="n">
        <v>-5861</v>
      </c>
      <c r="O10" s="14" t="n">
        <v>-25615</v>
      </c>
      <c r="P10" s="17"/>
      <c r="Q10" s="14" t="n">
        <v>-4392</v>
      </c>
    </row>
    <row r="11" customFormat="false" ht="15" hidden="false" customHeight="false" outlineLevel="0" collapsed="false">
      <c r="A11" s="23" t="s">
        <v>126</v>
      </c>
      <c r="B11" s="45"/>
      <c r="C11" s="45" t="n">
        <v>0</v>
      </c>
      <c r="D11" s="12" t="n">
        <v>274873</v>
      </c>
      <c r="E11" s="12" t="n">
        <v>292138</v>
      </c>
      <c r="G11" s="23" t="s">
        <v>127</v>
      </c>
      <c r="H11" s="12" t="n">
        <v>2704091</v>
      </c>
      <c r="I11" s="12" t="n">
        <v>2738465</v>
      </c>
      <c r="J11" s="12" t="n">
        <v>2936641</v>
      </c>
      <c r="K11" s="12" t="n">
        <v>3086206</v>
      </c>
      <c r="M11" s="23" t="s">
        <v>128</v>
      </c>
      <c r="N11" s="12" t="n">
        <v>1958025</v>
      </c>
      <c r="O11" s="12" t="n">
        <v>2312179</v>
      </c>
      <c r="P11" s="12" t="n">
        <v>2619343</v>
      </c>
      <c r="Q11" s="12" t="n">
        <v>2319167</v>
      </c>
    </row>
    <row r="12" customFormat="false" ht="15" hidden="false" customHeight="false" outlineLevel="0" collapsed="false">
      <c r="A12" s="23" t="s">
        <v>129</v>
      </c>
      <c r="B12" s="12" t="n">
        <v>5578931</v>
      </c>
      <c r="C12" s="12" t="n">
        <v>4813941</v>
      </c>
      <c r="D12" s="12" t="n">
        <v>4320448</v>
      </c>
      <c r="E12" s="12" t="n">
        <v>3817980</v>
      </c>
      <c r="G12" s="23" t="s">
        <v>130</v>
      </c>
      <c r="H12" s="12" t="n">
        <v>979566</v>
      </c>
      <c r="I12" s="12" t="n">
        <v>952056</v>
      </c>
      <c r="J12" s="12" t="n">
        <v>954883</v>
      </c>
      <c r="K12" s="12" t="n">
        <v>897938</v>
      </c>
      <c r="M12" s="23" t="s">
        <v>131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132</v>
      </c>
      <c r="B13" s="12" t="n">
        <v>4631213</v>
      </c>
      <c r="C13" s="12" t="n">
        <v>4306446</v>
      </c>
      <c r="D13" s="12" t="n">
        <v>3456305</v>
      </c>
      <c r="E13" s="12" t="n">
        <v>3089594</v>
      </c>
      <c r="G13" s="23" t="s">
        <v>133</v>
      </c>
      <c r="H13" s="45"/>
      <c r="I13" s="45"/>
      <c r="J13" s="45"/>
      <c r="K13" s="45" t="n">
        <v>0</v>
      </c>
      <c r="M13" s="23" t="s">
        <v>134</v>
      </c>
      <c r="N13" s="45"/>
      <c r="O13" s="45"/>
      <c r="P13" s="45"/>
      <c r="Q13" s="45" t="n">
        <v>0</v>
      </c>
    </row>
    <row r="14" customFormat="false" ht="15" hidden="false" customHeight="false" outlineLevel="0" collapsed="false">
      <c r="A14" s="23" t="s">
        <v>135</v>
      </c>
      <c r="B14" s="45"/>
      <c r="C14" s="45"/>
      <c r="D14" s="45"/>
      <c r="E14" s="45" t="n">
        <v>0</v>
      </c>
      <c r="G14" s="23" t="s">
        <v>136</v>
      </c>
      <c r="H14" s="12" t="n">
        <v>9958942</v>
      </c>
      <c r="I14" s="12" t="n">
        <v>9817320</v>
      </c>
      <c r="J14" s="12" t="n">
        <v>9649065</v>
      </c>
      <c r="K14" s="12" t="n">
        <v>9500979</v>
      </c>
      <c r="M14" s="23" t="s">
        <v>122</v>
      </c>
      <c r="N14" s="14" t="n">
        <v>-11761834</v>
      </c>
      <c r="O14" s="14" t="n">
        <v>-3812319</v>
      </c>
      <c r="P14" s="12" t="n">
        <v>95692</v>
      </c>
      <c r="Q14" s="14" t="n">
        <v>-2952816</v>
      </c>
    </row>
    <row r="15" customFormat="false" ht="15" hidden="false" customHeight="false" outlineLevel="0" collapsed="false">
      <c r="A15" s="23" t="s">
        <v>20</v>
      </c>
      <c r="B15" s="12" t="n">
        <v>315619648</v>
      </c>
      <c r="C15" s="12" t="n">
        <v>307711555</v>
      </c>
      <c r="D15" s="12" t="n">
        <v>279870685</v>
      </c>
      <c r="E15" s="12" t="n">
        <v>267382562</v>
      </c>
      <c r="G15" s="23" t="s">
        <v>137</v>
      </c>
      <c r="H15" s="45"/>
      <c r="I15" s="45"/>
      <c r="J15" s="45"/>
      <c r="K15" s="45" t="n">
        <v>0</v>
      </c>
      <c r="M15" s="23" t="s">
        <v>135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138</v>
      </c>
      <c r="B16" s="12" t="n">
        <v>4558224</v>
      </c>
      <c r="C16" s="12" t="n">
        <v>2135237</v>
      </c>
      <c r="D16" s="12" t="n">
        <v>3639709</v>
      </c>
      <c r="E16" s="12" t="n">
        <v>2234915</v>
      </c>
      <c r="G16" s="23" t="s">
        <v>139</v>
      </c>
      <c r="H16" s="12" t="n">
        <v>103176</v>
      </c>
      <c r="I16" s="12" t="n">
        <v>159133</v>
      </c>
      <c r="J16" s="12" t="n">
        <v>574103</v>
      </c>
      <c r="K16" s="12" t="n">
        <v>497894</v>
      </c>
      <c r="M16" s="23" t="s">
        <v>126</v>
      </c>
      <c r="N16" s="14" t="n">
        <v>-6235933</v>
      </c>
      <c r="O16" s="45" t="n">
        <v>0</v>
      </c>
      <c r="P16" s="12" t="n">
        <v>17265</v>
      </c>
      <c r="Q16" s="12" t="n">
        <v>83803</v>
      </c>
    </row>
    <row r="17" customFormat="false" ht="15" hidden="false" customHeight="false" outlineLevel="0" collapsed="false">
      <c r="A17" s="23" t="s">
        <v>140</v>
      </c>
      <c r="B17" s="12" t="n">
        <v>256227769</v>
      </c>
      <c r="C17" s="12" t="n">
        <v>256077047</v>
      </c>
      <c r="D17" s="12" t="n">
        <v>231589113</v>
      </c>
      <c r="E17" s="12" t="n">
        <v>221342916</v>
      </c>
      <c r="G17" s="23" t="s">
        <v>141</v>
      </c>
      <c r="H17" s="12" t="n">
        <v>13745775</v>
      </c>
      <c r="I17" s="12" t="n">
        <v>13666974</v>
      </c>
      <c r="J17" s="12" t="n">
        <v>14114692</v>
      </c>
      <c r="K17" s="12" t="n">
        <v>13983017</v>
      </c>
      <c r="M17" s="23" t="s">
        <v>17</v>
      </c>
      <c r="N17" s="14" t="n">
        <v>-2677135</v>
      </c>
      <c r="O17" s="14" t="n">
        <v>-1822406</v>
      </c>
      <c r="P17" s="14" t="n">
        <v>-1952979</v>
      </c>
      <c r="Q17" s="14" t="n">
        <v>-2084694</v>
      </c>
    </row>
    <row r="18" customFormat="false" ht="15" hidden="false" customHeight="false" outlineLevel="0" collapsed="false">
      <c r="A18" s="23" t="s">
        <v>28</v>
      </c>
      <c r="B18" s="12" t="n">
        <v>8194601</v>
      </c>
      <c r="C18" s="12" t="n">
        <v>7603077</v>
      </c>
      <c r="D18" s="12" t="n">
        <v>6237270</v>
      </c>
      <c r="E18" s="12" t="n">
        <v>7335994</v>
      </c>
      <c r="G18" s="23" t="s">
        <v>142</v>
      </c>
      <c r="H18" s="12" t="n">
        <v>2661043</v>
      </c>
      <c r="I18" s="12" t="n">
        <v>2514103</v>
      </c>
      <c r="J18" s="12" t="n">
        <v>2301315</v>
      </c>
      <c r="K18" s="12" t="n">
        <v>2100120</v>
      </c>
      <c r="M18" s="23" t="s">
        <v>143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144</v>
      </c>
      <c r="B19" s="12" t="n">
        <v>268980594</v>
      </c>
      <c r="C19" s="12" t="n">
        <v>265815361</v>
      </c>
      <c r="D19" s="12" t="n">
        <v>241466092</v>
      </c>
      <c r="E19" s="12" t="n">
        <v>230913825</v>
      </c>
      <c r="G19" s="23" t="s">
        <v>145</v>
      </c>
      <c r="H19" s="12" t="n">
        <v>243718</v>
      </c>
      <c r="I19" s="12" t="n">
        <v>257033</v>
      </c>
      <c r="J19" s="12" t="n">
        <v>235868</v>
      </c>
      <c r="K19" s="12" t="n">
        <v>216458</v>
      </c>
      <c r="M19" s="23" t="s">
        <v>138</v>
      </c>
      <c r="N19" s="12" t="n">
        <v>2422987</v>
      </c>
      <c r="O19" s="14" t="n">
        <v>-1504472</v>
      </c>
      <c r="P19" s="12" t="n">
        <v>1404464</v>
      </c>
      <c r="Q19" s="14" t="n">
        <v>-482379</v>
      </c>
    </row>
    <row r="20" customFormat="false" ht="15" hidden="false" customHeight="false" outlineLevel="0" collapsed="false">
      <c r="A20" s="23" t="s">
        <v>146</v>
      </c>
      <c r="B20" s="12" t="n">
        <v>16250000</v>
      </c>
      <c r="C20" s="12" t="n">
        <v>16250000</v>
      </c>
      <c r="D20" s="12" t="n">
        <v>15000000</v>
      </c>
      <c r="E20" s="12" t="n">
        <v>15000000</v>
      </c>
      <c r="G20" s="23" t="s">
        <v>11</v>
      </c>
      <c r="H20" s="12" t="n">
        <v>374099</v>
      </c>
      <c r="I20" s="12" t="n">
        <v>412716</v>
      </c>
      <c r="J20" s="12" t="n">
        <v>404553</v>
      </c>
      <c r="K20" s="12" t="n">
        <v>401699</v>
      </c>
      <c r="M20" s="23" t="s">
        <v>147</v>
      </c>
      <c r="N20" s="12" t="n">
        <v>150722</v>
      </c>
      <c r="O20" s="12" t="n">
        <v>24487934</v>
      </c>
      <c r="P20" s="12" t="n">
        <v>10194475</v>
      </c>
      <c r="Q20" s="12" t="n">
        <v>43609964</v>
      </c>
    </row>
    <row r="21" customFormat="false" ht="15" hidden="false" customHeight="false" outlineLevel="0" collapsed="false">
      <c r="A21" s="23" t="s">
        <v>148</v>
      </c>
      <c r="B21" s="12" t="n">
        <v>2997754</v>
      </c>
      <c r="C21" s="12" t="n">
        <v>2598599</v>
      </c>
      <c r="D21" s="12" t="n">
        <v>2068170</v>
      </c>
      <c r="E21" s="12" t="n">
        <v>1470301</v>
      </c>
      <c r="G21" s="23" t="s">
        <v>149</v>
      </c>
      <c r="H21" s="12" t="n">
        <v>1378815</v>
      </c>
      <c r="I21" s="12" t="n">
        <v>1334771</v>
      </c>
      <c r="J21" s="12" t="n">
        <v>1115626</v>
      </c>
      <c r="K21" s="12" t="n">
        <v>1060867</v>
      </c>
      <c r="M21" s="23" t="s">
        <v>28</v>
      </c>
      <c r="N21" s="12" t="n">
        <v>591524</v>
      </c>
      <c r="O21" s="12" t="n">
        <v>1200491</v>
      </c>
      <c r="P21" s="14" t="n">
        <v>-1306554</v>
      </c>
      <c r="Q21" s="12" t="n">
        <v>509175</v>
      </c>
    </row>
    <row r="22" customFormat="false" ht="15" hidden="false" customHeight="false" outlineLevel="0" collapsed="false">
      <c r="A22" s="23" t="s">
        <v>150</v>
      </c>
      <c r="B22" s="12" t="n">
        <v>16250000</v>
      </c>
      <c r="C22" s="12" t="n">
        <v>16250000</v>
      </c>
      <c r="D22" s="12" t="n">
        <v>15000000</v>
      </c>
      <c r="E22" s="12" t="n">
        <v>15000000</v>
      </c>
      <c r="G22" s="23" t="s">
        <v>151</v>
      </c>
      <c r="H22" s="12" t="n">
        <v>1958025</v>
      </c>
      <c r="I22" s="12" t="n">
        <v>2312179</v>
      </c>
      <c r="J22" s="12" t="n">
        <v>2619343</v>
      </c>
      <c r="K22" s="12" t="n">
        <v>2319167</v>
      </c>
      <c r="M22" s="23" t="s">
        <v>152</v>
      </c>
      <c r="N22" s="14" t="n">
        <v>-8053331</v>
      </c>
      <c r="O22" s="12" t="n">
        <v>28084680</v>
      </c>
      <c r="P22" s="12" t="n">
        <v>18914246</v>
      </c>
      <c r="Q22" s="12" t="n">
        <v>49284233</v>
      </c>
    </row>
    <row r="23" customFormat="false" ht="15" hidden="false" customHeight="false" outlineLevel="0" collapsed="false">
      <c r="A23" s="23" t="s">
        <v>153</v>
      </c>
      <c r="B23" s="12" t="n">
        <v>11141300</v>
      </c>
      <c r="C23" s="12" t="n">
        <v>6797595</v>
      </c>
      <c r="D23" s="12" t="n">
        <v>6336423</v>
      </c>
      <c r="E23" s="12" t="n">
        <v>4998436</v>
      </c>
      <c r="G23" s="23" t="s">
        <v>154</v>
      </c>
      <c r="H23" s="12" t="n">
        <v>6615700</v>
      </c>
      <c r="I23" s="12" t="n">
        <v>6830802</v>
      </c>
      <c r="J23" s="12" t="n">
        <v>6676705</v>
      </c>
      <c r="K23" s="12" t="n">
        <v>6098311</v>
      </c>
      <c r="M23" s="23" t="s">
        <v>155</v>
      </c>
      <c r="N23" s="45"/>
      <c r="O23" s="45"/>
      <c r="P23" s="45"/>
      <c r="Q23" s="45" t="n">
        <v>0</v>
      </c>
    </row>
    <row r="24" customFormat="false" ht="15" hidden="false" customHeight="false" outlineLevel="0" collapsed="false">
      <c r="A24" s="23" t="s">
        <v>156</v>
      </c>
      <c r="B24" s="17"/>
      <c r="C24" s="17"/>
      <c r="D24" s="17"/>
      <c r="E24" s="17" t="n">
        <v>0</v>
      </c>
      <c r="G24" s="23" t="s">
        <v>157</v>
      </c>
      <c r="H24" s="45"/>
      <c r="I24" s="45"/>
      <c r="J24" s="45"/>
      <c r="K24" s="45" t="n">
        <v>0</v>
      </c>
      <c r="M24" s="23" t="s">
        <v>158</v>
      </c>
      <c r="N24" s="12" t="n">
        <v>1511680</v>
      </c>
      <c r="O24" s="14" t="n">
        <v>-24411933</v>
      </c>
      <c r="P24" s="14" t="n">
        <v>-16521619</v>
      </c>
      <c r="Q24" s="14" t="n">
        <v>-36024922</v>
      </c>
    </row>
    <row r="25" customFormat="false" ht="15" hidden="false" customHeight="false" outlineLevel="0" collapsed="false">
      <c r="A25" s="23" t="s">
        <v>31</v>
      </c>
      <c r="B25" s="12" t="n">
        <v>46639054</v>
      </c>
      <c r="C25" s="12" t="n">
        <v>41896194</v>
      </c>
      <c r="D25" s="12" t="n">
        <v>38404593</v>
      </c>
      <c r="E25" s="12" t="n">
        <v>36468737</v>
      </c>
      <c r="G25" s="23" t="s">
        <v>159</v>
      </c>
      <c r="H25" s="12" t="n">
        <v>7130075</v>
      </c>
      <c r="I25" s="12" t="n">
        <v>6836172</v>
      </c>
      <c r="J25" s="12" t="n">
        <v>7437987</v>
      </c>
      <c r="K25" s="12" t="n">
        <v>7884706</v>
      </c>
      <c r="M25" s="23" t="s">
        <v>160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161</v>
      </c>
      <c r="H26" s="45"/>
      <c r="I26" s="45"/>
      <c r="J26" s="45"/>
      <c r="K26" s="12" t="n">
        <v>32279</v>
      </c>
      <c r="M26" s="23" t="s">
        <v>27</v>
      </c>
      <c r="N26" s="14" t="n">
        <v>-1141995</v>
      </c>
      <c r="O26" s="14" t="n">
        <v>-912215</v>
      </c>
      <c r="P26" s="14" t="n">
        <v>-907021</v>
      </c>
      <c r="Q26" s="14" t="n">
        <v>-600391</v>
      </c>
    </row>
    <row r="27" customFormat="false" ht="15" hidden="false" customHeight="false" outlineLevel="0" collapsed="false">
      <c r="A27" s="23" t="s">
        <v>37</v>
      </c>
      <c r="B27" s="12" t="n">
        <v>315619648</v>
      </c>
      <c r="C27" s="12" t="n">
        <v>307711555</v>
      </c>
      <c r="D27" s="12" t="n">
        <v>279870685</v>
      </c>
      <c r="E27" s="12" t="n">
        <v>267382562</v>
      </c>
      <c r="G27" s="23" t="s">
        <v>162</v>
      </c>
      <c r="H27" s="45"/>
      <c r="I27" s="45"/>
      <c r="J27" s="45"/>
      <c r="K27" s="12" t="n">
        <v>1043549</v>
      </c>
      <c r="M27" s="23" t="s">
        <v>163</v>
      </c>
      <c r="N27" s="12" t="n">
        <v>8767</v>
      </c>
      <c r="O27" s="12" t="n">
        <v>31621</v>
      </c>
      <c r="P27" s="17"/>
      <c r="Q27" s="12" t="n">
        <v>8626</v>
      </c>
    </row>
    <row r="28" customFormat="false" ht="15" hidden="false" customHeight="false" outlineLevel="0" collapsed="false">
      <c r="A28" s="23" t="s">
        <v>164</v>
      </c>
      <c r="B28" s="12" t="n">
        <v>23554708</v>
      </c>
      <c r="C28" s="12" t="n">
        <v>31798761</v>
      </c>
      <c r="D28" s="12" t="n">
        <v>31329572</v>
      </c>
      <c r="E28" s="12" t="n">
        <v>25184452</v>
      </c>
      <c r="G28" s="23" t="s">
        <v>165</v>
      </c>
      <c r="H28" s="17"/>
      <c r="I28" s="17"/>
      <c r="J28" s="17"/>
      <c r="K28" s="12" t="n">
        <v>3850000</v>
      </c>
      <c r="M28" s="23" t="s">
        <v>166</v>
      </c>
      <c r="N28" s="12" t="n">
        <v>378452</v>
      </c>
      <c r="O28" s="14" t="n">
        <v>-25292527</v>
      </c>
      <c r="P28" s="14" t="n">
        <v>-17428640</v>
      </c>
      <c r="Q28" s="14" t="n">
        <v>-36616687</v>
      </c>
    </row>
    <row r="29" customFormat="false" ht="15" hidden="false" customHeight="false" outlineLevel="0" collapsed="false">
      <c r="A29" s="6"/>
      <c r="G29" s="23" t="s">
        <v>45</v>
      </c>
      <c r="H29" s="17"/>
      <c r="I29" s="17"/>
      <c r="J29" s="17"/>
      <c r="K29" s="12" t="n">
        <v>1875000</v>
      </c>
      <c r="M29" s="23" t="s">
        <v>167</v>
      </c>
      <c r="N29" s="14" t="n">
        <v>-2174626</v>
      </c>
      <c r="O29" s="14" t="n">
        <v>-3125000</v>
      </c>
      <c r="P29" s="14" t="n">
        <v>-5250000</v>
      </c>
      <c r="Q29" s="14" t="n">
        <v>-4875000</v>
      </c>
    </row>
    <row r="30" customFormat="false" ht="15" hidden="false" customHeight="false" outlineLevel="0" collapsed="false">
      <c r="A30" s="6"/>
      <c r="G30" s="23" t="s">
        <v>168</v>
      </c>
      <c r="H30" s="17"/>
      <c r="I30" s="17"/>
      <c r="J30" s="17"/>
      <c r="K30" s="12" t="n">
        <v>1148436</v>
      </c>
      <c r="M30" s="23" t="s">
        <v>169</v>
      </c>
      <c r="N30" s="14" t="n">
        <v>-2174626</v>
      </c>
      <c r="O30" s="14" t="n">
        <v>-3125000</v>
      </c>
      <c r="P30" s="14" t="n">
        <v>-5250000</v>
      </c>
      <c r="Q30" s="14" t="n">
        <v>-4875000</v>
      </c>
    </row>
    <row r="31" customFormat="false" ht="15" hidden="false" customHeight="false" outlineLevel="0" collapsed="false">
      <c r="A31" s="6"/>
      <c r="G31" s="6"/>
      <c r="M31" s="23" t="s">
        <v>170</v>
      </c>
      <c r="N31" s="14" t="n">
        <v>-9849505</v>
      </c>
      <c r="O31" s="14" t="n">
        <v>-332847</v>
      </c>
      <c r="P31" s="14" t="n">
        <v>-3764394</v>
      </c>
      <c r="Q31" s="12" t="n">
        <v>7792546</v>
      </c>
    </row>
    <row r="32" customFormat="false" ht="15" hidden="false" customHeight="false" outlineLevel="0" collapsed="false">
      <c r="A32" s="6"/>
      <c r="G32" s="6"/>
      <c r="M32" s="23" t="s">
        <v>171</v>
      </c>
      <c r="N32" s="12" t="n">
        <v>22231985</v>
      </c>
      <c r="O32" s="12" t="n">
        <v>22564832</v>
      </c>
      <c r="P32" s="12" t="n">
        <v>26329226</v>
      </c>
      <c r="Q32" s="12" t="n">
        <v>18622071</v>
      </c>
    </row>
    <row r="33" customFormat="false" ht="15" hidden="false" customHeight="false" outlineLevel="0" collapsed="false">
      <c r="A33" s="6"/>
      <c r="G33" s="6"/>
      <c r="M33" s="23" t="s">
        <v>172</v>
      </c>
      <c r="N33" s="12" t="n">
        <v>12382480</v>
      </c>
      <c r="O33" s="12" t="n">
        <v>22231985</v>
      </c>
      <c r="P33" s="12" t="n">
        <v>22564832</v>
      </c>
      <c r="Q33" s="12" t="n">
        <v>26414617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114</v>
      </c>
      <c r="N34" s="4" t="n">
        <f aca="false">N22-N26</f>
        <v>-6911336</v>
      </c>
      <c r="O34" s="4" t="n">
        <f aca="false">O22-O26</f>
        <v>28996895</v>
      </c>
      <c r="P34" s="4" t="n">
        <f aca="false">P22-P26</f>
        <v>19821267</v>
      </c>
      <c r="Q34" s="4" t="n">
        <f aca="false">Q22-Q26</f>
        <v>49884624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0.0435517087960253</v>
      </c>
      <c r="C35" s="31" t="n">
        <f aca="false">I17/C15</f>
        <v>0.0444148871822509</v>
      </c>
      <c r="D35" s="31" t="n">
        <f aca="false">J17/D15</f>
        <v>0.0504329061830824</v>
      </c>
      <c r="E35" s="31" t="n">
        <f aca="false">K17/E15</f>
        <v>0.052295919731669</v>
      </c>
      <c r="F35" s="31"/>
      <c r="G35" s="29" t="s">
        <v>61</v>
      </c>
      <c r="H35" s="31" t="n">
        <f aca="false">H21/H17</f>
        <v>0.100308276543156</v>
      </c>
      <c r="I35" s="31" t="n">
        <f aca="false">I21/I17</f>
        <v>0.0976639744833055</v>
      </c>
      <c r="J35" s="31" t="n">
        <f aca="false">J21/J17</f>
        <v>0.0790400527337047</v>
      </c>
      <c r="K35" s="31" t="n">
        <f aca="false">K21/K17</f>
        <v>0.0758682478895649</v>
      </c>
      <c r="M35" s="6"/>
    </row>
    <row r="36" customFormat="false" ht="15" hidden="false" customHeight="false" outlineLevel="0" collapsed="false">
      <c r="A36" s="29" t="s">
        <v>62</v>
      </c>
      <c r="B36" s="31" t="n">
        <f aca="false">H17/B25</f>
        <v>0.294726711223602</v>
      </c>
      <c r="C36" s="31" t="n">
        <f aca="false">I17/C25</f>
        <v>0.326210395149497</v>
      </c>
      <c r="D36" s="31" t="n">
        <f aca="false">J17/D25</f>
        <v>0.367526144594216</v>
      </c>
      <c r="E36" s="31" t="n">
        <f aca="false">K17/E25</f>
        <v>0.383424767356215</v>
      </c>
      <c r="G36" s="29"/>
      <c r="H36" s="31"/>
      <c r="I36" s="31"/>
      <c r="J36" s="31"/>
      <c r="K36" s="31"/>
      <c r="M36" s="6"/>
    </row>
    <row r="37" customFormat="false" ht="15" hidden="false" customHeight="false" outlineLevel="0" collapsed="false">
      <c r="A37" s="29" t="s">
        <v>173</v>
      </c>
      <c r="B37" s="49" t="n">
        <f aca="false">H25/(B15-B12-B13)</f>
        <v>0.0233459499675557</v>
      </c>
      <c r="C37" s="49" t="n">
        <f aca="false">I25/(C15-C12-C13)</f>
        <v>0.0228947562173038</v>
      </c>
      <c r="D37" s="49" t="n">
        <f aca="false">J25/(D15-D12-D13)</f>
        <v>0.0273361002405596</v>
      </c>
      <c r="E37" s="49" t="n">
        <f aca="false">K25/(E15-E12-E13)</f>
        <v>0.0302704918446911</v>
      </c>
      <c r="G37" s="29" t="s">
        <v>64</v>
      </c>
      <c r="H37" s="31" t="n">
        <f aca="false">H25/H22</f>
        <v>3.6414626983823</v>
      </c>
      <c r="I37" s="31" t="n">
        <f aca="false">I25/I22</f>
        <v>2.95659289354328</v>
      </c>
      <c r="J37" s="31" t="n">
        <f aca="false">J25/J22</f>
        <v>2.83963841314406</v>
      </c>
      <c r="K37" s="31" t="n">
        <f aca="false">K25/K22</f>
        <v>3.39980087678033</v>
      </c>
      <c r="M37" s="6"/>
    </row>
    <row r="38" customFormat="false" ht="15" hidden="false" customHeight="false" outlineLevel="0" collapsed="false">
      <c r="A38" s="29" t="s">
        <v>65</v>
      </c>
      <c r="B38" s="31" t="n">
        <f aca="false">B19/B15</f>
        <v>0.8522301944903</v>
      </c>
      <c r="C38" s="31" t="n">
        <f aca="false">C19/C15</f>
        <v>0.863845886450381</v>
      </c>
      <c r="D38" s="31" t="n">
        <f aca="false">D19/D15</f>
        <v>0.862777364481743</v>
      </c>
      <c r="E38" s="31" t="n">
        <f aca="false">E19/E15</f>
        <v>0.863608394177927</v>
      </c>
      <c r="G38" s="29" t="s">
        <v>66</v>
      </c>
      <c r="H38" s="31" t="n">
        <f aca="false">H23/H17</f>
        <v>0.481289705382199</v>
      </c>
      <c r="I38" s="31" t="n">
        <f aca="false">I23/I17</f>
        <v>0.499803541003297</v>
      </c>
      <c r="J38" s="31" t="n">
        <f aca="false">J23/J17</f>
        <v>0.473032284374324</v>
      </c>
      <c r="K38" s="31" t="n">
        <f aca="false">K23/K17</f>
        <v>0.436122690832744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5.76728237240833</v>
      </c>
      <c r="C39" s="31" t="n">
        <f aca="false">C19/C25</f>
        <v>6.34461834409111</v>
      </c>
      <c r="D39" s="31" t="n">
        <f aca="false">D19/D25</f>
        <v>6.28742744389974</v>
      </c>
      <c r="E39" s="31" t="n">
        <f aca="false">E19/E25</f>
        <v>6.33182950646193</v>
      </c>
      <c r="G39" s="36" t="s">
        <v>72</v>
      </c>
      <c r="H39" s="37" t="n">
        <f aca="false">H25/$B$5/1000</f>
        <v>4.75338333333333</v>
      </c>
      <c r="I39" s="37" t="n">
        <f aca="false">I25/$B$5/1000</f>
        <v>4.557448</v>
      </c>
      <c r="J39" s="37" t="n">
        <f aca="false">J25/$B$5/1000</f>
        <v>4.958658</v>
      </c>
      <c r="K39" s="37" t="n">
        <f aca="false">K25/$B$5/1000</f>
        <v>5.25647066666667</v>
      </c>
      <c r="M39" s="6"/>
    </row>
    <row r="40" customFormat="false" ht="15" hidden="false" customHeight="false" outlineLevel="0" collapsed="false">
      <c r="A40" s="29" t="s">
        <v>174</v>
      </c>
      <c r="B40" s="31" t="n">
        <f aca="false">B10/B17</f>
        <v>0.981332870286983</v>
      </c>
      <c r="C40" s="31" t="n">
        <f aca="false">C10/C17</f>
        <v>0.970370386222081</v>
      </c>
      <c r="D40" s="31" t="n">
        <f aca="false">D10/D17</f>
        <v>0.977534220272263</v>
      </c>
      <c r="E40" s="31" t="n">
        <f aca="false">E10/E17</f>
        <v>0.961501469511678</v>
      </c>
      <c r="G40" s="36" t="s">
        <v>73</v>
      </c>
      <c r="H40" s="37" t="n">
        <f aca="false">B27/$B$5/1000</f>
        <v>210.413098666667</v>
      </c>
      <c r="I40" s="37" t="n">
        <f aca="false">C27/$B$5/1000</f>
        <v>205.141036666667</v>
      </c>
      <c r="J40" s="37" t="n">
        <f aca="false">D27/$B$5/1000</f>
        <v>186.580456666667</v>
      </c>
      <c r="K40" s="37" t="n">
        <f aca="false">E27/$B$5/1000</f>
        <v>178.255041333333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6.76728237240833</v>
      </c>
      <c r="C41" s="30" t="n">
        <f aca="false">C15/C25</f>
        <v>7.34461834409111</v>
      </c>
      <c r="D41" s="30" t="n">
        <f aca="false">D15/D25</f>
        <v>7.28742744389974</v>
      </c>
      <c r="E41" s="30" t="n">
        <f aca="false">E15/E25</f>
        <v>7.33182950646193</v>
      </c>
      <c r="G41" s="33" t="s">
        <v>74</v>
      </c>
      <c r="H41" s="38" t="n">
        <f aca="false">SQRT(16*H39*H40)</f>
        <v>126.502118010231</v>
      </c>
      <c r="I41" s="38" t="n">
        <f aca="false">SQRT(16*I39*I40)</f>
        <v>122.305820451812</v>
      </c>
      <c r="J41" s="38" t="n">
        <f aca="false">SQRT(16*J39*J40)</f>
        <v>121.667657105334</v>
      </c>
      <c r="K41" s="38" t="n">
        <f aca="false">SQRT(16*K39*K40)</f>
        <v>122.441326092402</v>
      </c>
      <c r="M41" s="6"/>
    </row>
    <row r="42" customFormat="false" ht="15" hidden="false" customHeight="false" outlineLevel="0" collapsed="false">
      <c r="A42" s="29" t="s">
        <v>175</v>
      </c>
      <c r="B42" s="31" t="n">
        <f aca="false">B11/B17</f>
        <v>0</v>
      </c>
      <c r="C42" s="31" t="n">
        <f aca="false">C11/C17</f>
        <v>0</v>
      </c>
      <c r="D42" s="31" t="n">
        <f aca="false">D11/D17</f>
        <v>0.00118689948952825</v>
      </c>
      <c r="E42" s="31" t="n">
        <f aca="false">E11/E17</f>
        <v>0.00131984345954853</v>
      </c>
      <c r="G42" s="2" t="s">
        <v>176</v>
      </c>
      <c r="H42" s="39" t="n">
        <f aca="false">H39-(B25*0.1/1000/$B$5)</f>
        <v>1.64411306666667</v>
      </c>
      <c r="I42" s="39" t="n">
        <f aca="false">I39-(C25*0.1/1000/$B$5)</f>
        <v>1.7643684</v>
      </c>
      <c r="J42" s="39" t="n">
        <f aca="false">J39-(D25*0.1/1000/$B$5)</f>
        <v>2.3983518</v>
      </c>
      <c r="K42" s="39" t="n">
        <f aca="false">K39-(E25*0.1/1000/$B$5)</f>
        <v>2.82522153333333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3030</v>
      </c>
      <c r="C1" s="1" t="n">
        <v>3030</v>
      </c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IFERROR(__xludf.dummyfunction("GoogleFinance(""TADAWUL:""&amp;B1,""eps"")"),"3.48")</f>
        <v>3.48</v>
      </c>
      <c r="C2" s="0" t="str">
        <f aca="false">IFERROR(__xludf.dummyfunction("GoogleFinance(""TADAWUL:""&amp;B1,""eps"")"),"3.48")</f>
        <v>3.48</v>
      </c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IFERROR(__xludf.dummyfunction("GoogleFinance(""TADAWUL:""&amp;B1,""marketcap"")/1000"),"6,190,077.11")</f>
        <v>6,190,077.11</v>
      </c>
      <c r="C5" s="3" t="str">
        <f aca="false">IFERROR(__xludf.dummyfunction("GoogleFinance(""TADAWUL:""&amp;B1,""marketcap"")/1000"),"6,190,077.11")</f>
        <v>6,190,077.11</v>
      </c>
    </row>
    <row r="6" customFormat="false" ht="15" hidden="false" customHeight="false" outlineLevel="0" collapsed="false">
      <c r="A6" s="2" t="s">
        <v>1</v>
      </c>
      <c r="B6" s="4" t="n">
        <f aca="false">B5+(B22-B20)-N23</f>
        <v>7165557.11</v>
      </c>
      <c r="C6" s="4" t="e">
        <f aca="false">C5+(C22-C20)-O23</f>
        <v>#VALUE!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IFERROR(__xludf.dummyfunction("GoogleFinance(""TADAWUL:""&amp;B1,""shares"")/1000000"),"152.84141")</f>
        <v>152.84141</v>
      </c>
      <c r="C7" s="5" t="str">
        <f aca="false">IFERROR(__xludf.dummyfunction("GoogleFinance(""TADAWUL:""&amp;B1,""shares"")/1000000"),"152.84141")</f>
        <v>152.84141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483316</v>
      </c>
      <c r="C11" s="11" t="n">
        <v>661297</v>
      </c>
      <c r="D11" s="11" t="n">
        <v>571506</v>
      </c>
      <c r="E11" s="11" t="n">
        <v>449854</v>
      </c>
      <c r="F11" s="12" t="n">
        <v>478893</v>
      </c>
      <c r="H11" s="10" t="s">
        <v>7</v>
      </c>
      <c r="I11" s="11" t="n">
        <v>1778139</v>
      </c>
      <c r="J11" s="11" t="n">
        <v>1932393</v>
      </c>
      <c r="K11" s="11" t="n">
        <v>2024587</v>
      </c>
      <c r="L11" s="11" t="n">
        <v>2187255</v>
      </c>
      <c r="M11" s="12" t="n">
        <v>2203447</v>
      </c>
      <c r="O11" s="10" t="s">
        <v>8</v>
      </c>
      <c r="P11" s="11" t="n">
        <v>920070</v>
      </c>
      <c r="Q11" s="11" t="n">
        <v>963114</v>
      </c>
      <c r="R11" s="11" t="n">
        <v>1111011</v>
      </c>
      <c r="S11" s="11" t="n">
        <v>1171031</v>
      </c>
      <c r="T11" s="12" t="n">
        <v>1142452</v>
      </c>
    </row>
    <row r="12" customFormat="false" ht="15" hidden="false" customHeight="false" outlineLevel="0" collapsed="false">
      <c r="A12" s="10" t="s">
        <v>9</v>
      </c>
      <c r="B12" s="11" t="n">
        <v>817469</v>
      </c>
      <c r="C12" s="11" t="n">
        <v>754934</v>
      </c>
      <c r="D12" s="11" t="n">
        <v>657963</v>
      </c>
      <c r="E12" s="11" t="n">
        <v>536554</v>
      </c>
      <c r="F12" s="12" t="n">
        <v>322714</v>
      </c>
      <c r="H12" s="10" t="s">
        <v>10</v>
      </c>
      <c r="I12" s="11" t="n">
        <v>749139</v>
      </c>
      <c r="J12" s="11" t="n">
        <v>796371</v>
      </c>
      <c r="K12" s="11" t="n">
        <v>795530</v>
      </c>
      <c r="L12" s="11" t="n">
        <v>902993</v>
      </c>
      <c r="M12" s="12" t="n">
        <v>974237</v>
      </c>
      <c r="O12" s="10" t="s">
        <v>11</v>
      </c>
      <c r="P12" s="11" t="n">
        <v>216293</v>
      </c>
      <c r="Q12" s="11" t="n">
        <v>219296</v>
      </c>
      <c r="R12" s="11" t="n">
        <v>205236</v>
      </c>
      <c r="S12" s="11" t="n">
        <v>199999</v>
      </c>
      <c r="T12" s="12" t="n">
        <v>200747</v>
      </c>
    </row>
    <row r="13" customFormat="false" ht="15" hidden="false" customHeight="false" outlineLevel="0" collapsed="false">
      <c r="A13" s="10" t="s">
        <v>12</v>
      </c>
      <c r="B13" s="11" t="n">
        <v>60100</v>
      </c>
      <c r="C13" s="11" t="n">
        <v>82800</v>
      </c>
      <c r="D13" s="11" t="n">
        <v>86878</v>
      </c>
      <c r="E13" s="11" t="n">
        <v>91464</v>
      </c>
      <c r="F13" s="12" t="n">
        <v>97506</v>
      </c>
      <c r="H13" s="10" t="s">
        <v>13</v>
      </c>
      <c r="I13" s="11" t="n">
        <v>1029000</v>
      </c>
      <c r="J13" s="11" t="n">
        <v>1136022</v>
      </c>
      <c r="K13" s="11" t="n">
        <v>1229057</v>
      </c>
      <c r="L13" s="11" t="n">
        <v>1284262</v>
      </c>
      <c r="M13" s="12" t="n">
        <v>1229210</v>
      </c>
      <c r="O13" s="10" t="s">
        <v>14</v>
      </c>
      <c r="P13" s="13" t="n">
        <v>-21199</v>
      </c>
      <c r="Q13" s="11" t="n">
        <v>1725</v>
      </c>
      <c r="R13" s="11" t="n">
        <v>63324</v>
      </c>
      <c r="S13" s="13" t="n">
        <v>-84270</v>
      </c>
      <c r="T13" s="14" t="n">
        <v>-26700</v>
      </c>
    </row>
    <row r="14" customFormat="false" ht="15" hidden="false" customHeight="false" outlineLevel="0" collapsed="false">
      <c r="A14" s="10" t="s">
        <v>15</v>
      </c>
      <c r="B14" s="11" t="n">
        <v>2890059</v>
      </c>
      <c r="C14" s="11" t="n">
        <v>3014558</v>
      </c>
      <c r="D14" s="11" t="n">
        <v>3168093</v>
      </c>
      <c r="E14" s="11" t="n">
        <v>3293023</v>
      </c>
      <c r="F14" s="12" t="n">
        <v>3434049</v>
      </c>
      <c r="H14" s="10" t="s">
        <v>16</v>
      </c>
      <c r="I14" s="11" t="n">
        <v>9319</v>
      </c>
      <c r="J14" s="11" t="n">
        <v>12846</v>
      </c>
      <c r="K14" s="11" t="n">
        <v>2814</v>
      </c>
      <c r="L14" s="13" t="n">
        <v>-2009</v>
      </c>
      <c r="M14" s="12" t="n">
        <v>14980</v>
      </c>
      <c r="O14" s="10" t="s">
        <v>9</v>
      </c>
      <c r="P14" s="13" t="n">
        <v>-62535</v>
      </c>
      <c r="Q14" s="13" t="n">
        <v>-86406</v>
      </c>
      <c r="R14" s="13" t="n">
        <v>-121409</v>
      </c>
      <c r="S14" s="13" t="n">
        <v>-213840</v>
      </c>
      <c r="T14" s="12" t="n">
        <v>156153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45" t="n">
        <v>0</v>
      </c>
      <c r="H15" s="10" t="s">
        <v>18</v>
      </c>
      <c r="I15" s="11" t="n">
        <v>1038319</v>
      </c>
      <c r="J15" s="11" t="n">
        <v>1148868</v>
      </c>
      <c r="K15" s="11" t="n">
        <v>1231871</v>
      </c>
      <c r="L15" s="11" t="n">
        <v>1282253</v>
      </c>
      <c r="M15" s="12" t="n">
        <v>1244190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45" t="n">
        <v>0</v>
      </c>
    </row>
    <row r="16" customFormat="false" ht="15" hidden="false" customHeight="false" outlineLevel="0" collapsed="false">
      <c r="A16" s="10" t="s">
        <v>20</v>
      </c>
      <c r="B16" s="11" t="n">
        <v>4250944</v>
      </c>
      <c r="C16" s="11" t="n">
        <v>4513589</v>
      </c>
      <c r="D16" s="11" t="n">
        <v>4484440</v>
      </c>
      <c r="E16" s="11" t="n">
        <v>4370895</v>
      </c>
      <c r="F16" s="12" t="n">
        <v>4333162</v>
      </c>
      <c r="H16" s="10" t="s">
        <v>21</v>
      </c>
      <c r="I16" s="11" t="n">
        <v>96267</v>
      </c>
      <c r="J16" s="11" t="n">
        <v>106256</v>
      </c>
      <c r="K16" s="11" t="n">
        <v>105614</v>
      </c>
      <c r="L16" s="11" t="n">
        <v>97887</v>
      </c>
      <c r="M16" s="12" t="n">
        <v>87153</v>
      </c>
      <c r="O16" s="10" t="s">
        <v>22</v>
      </c>
      <c r="P16" s="11" t="n">
        <v>43403</v>
      </c>
      <c r="Q16" s="11" t="n">
        <v>48977</v>
      </c>
      <c r="R16" s="11" t="n">
        <v>39891</v>
      </c>
      <c r="S16" s="11" t="n">
        <v>26133</v>
      </c>
      <c r="T16" s="12" t="n">
        <v>6182</v>
      </c>
    </row>
    <row r="17" customFormat="false" ht="15" hidden="false" customHeight="false" outlineLevel="0" collapsed="false">
      <c r="A17" s="10" t="s">
        <v>23</v>
      </c>
      <c r="B17" s="11" t="n">
        <v>884203</v>
      </c>
      <c r="C17" s="11" t="n">
        <v>1166451</v>
      </c>
      <c r="D17" s="11" t="n">
        <v>1063700</v>
      </c>
      <c r="E17" s="11" t="n">
        <v>841467</v>
      </c>
      <c r="F17" s="12" t="n">
        <v>767386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3" t="n">
        <v>-17557</v>
      </c>
      <c r="Q17" s="11" t="n">
        <v>37676</v>
      </c>
      <c r="R17" s="13" t="n">
        <v>-26924</v>
      </c>
      <c r="S17" s="13" t="n">
        <v>-24213</v>
      </c>
      <c r="T17" s="14" t="n">
        <v>-46874</v>
      </c>
    </row>
    <row r="18" customFormat="false" ht="15" hidden="false" customHeight="false" outlineLevel="0" collapsed="false">
      <c r="A18" s="10" t="s">
        <v>25</v>
      </c>
      <c r="B18" s="11" t="n">
        <v>91277</v>
      </c>
      <c r="C18" s="11" t="n">
        <v>91316</v>
      </c>
      <c r="D18" s="11" t="n">
        <v>211410</v>
      </c>
      <c r="E18" s="11" t="n">
        <v>320982</v>
      </c>
      <c r="F18" s="12" t="n">
        <v>407922</v>
      </c>
      <c r="H18" s="10" t="s">
        <v>26</v>
      </c>
      <c r="I18" s="11" t="n">
        <v>16937</v>
      </c>
      <c r="J18" s="11" t="n">
        <v>78211</v>
      </c>
      <c r="K18" s="11" t="n">
        <v>15246</v>
      </c>
      <c r="L18" s="11" t="n">
        <v>13335</v>
      </c>
      <c r="M18" s="12" t="n">
        <v>14585</v>
      </c>
      <c r="O18" s="10" t="s">
        <v>27</v>
      </c>
      <c r="P18" s="13" t="n">
        <v>-93772</v>
      </c>
      <c r="Q18" s="13" t="n">
        <v>-127398</v>
      </c>
      <c r="R18" s="13" t="n">
        <v>-80201</v>
      </c>
      <c r="S18" s="13" t="n">
        <v>-56771</v>
      </c>
      <c r="T18" s="14" t="n">
        <v>-59021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 t="n">
        <v>0</v>
      </c>
      <c r="H19" s="10" t="s">
        <v>29</v>
      </c>
      <c r="I19" s="11" t="n">
        <v>113204</v>
      </c>
      <c r="J19" s="11" t="n">
        <v>184467</v>
      </c>
      <c r="K19" s="11" t="n">
        <v>120860</v>
      </c>
      <c r="L19" s="11" t="n">
        <v>111222</v>
      </c>
      <c r="M19" s="12" t="n">
        <v>101738</v>
      </c>
      <c r="O19" s="10" t="s">
        <v>30</v>
      </c>
      <c r="P19" s="11" t="n">
        <v>28067</v>
      </c>
      <c r="Q19" s="11" t="n">
        <v>6367</v>
      </c>
      <c r="R19" s="11" t="n">
        <v>2377</v>
      </c>
      <c r="S19" s="11" t="n">
        <v>3750</v>
      </c>
      <c r="T19" s="12" t="n">
        <v>202</v>
      </c>
    </row>
    <row r="20" customFormat="false" ht="15" hidden="false" customHeight="false" outlineLevel="0" collapsed="false">
      <c r="A20" s="10" t="s">
        <v>31</v>
      </c>
      <c r="B20" s="11" t="n">
        <v>3275464</v>
      </c>
      <c r="C20" s="11" t="n">
        <v>3255822</v>
      </c>
      <c r="D20" s="11" t="n">
        <v>3209330</v>
      </c>
      <c r="E20" s="11" t="n">
        <v>3208446</v>
      </c>
      <c r="F20" s="12" t="n">
        <v>3157854</v>
      </c>
      <c r="H20" s="10" t="s">
        <v>32</v>
      </c>
      <c r="I20" s="11" t="n">
        <v>925115</v>
      </c>
      <c r="J20" s="11" t="n">
        <v>964401</v>
      </c>
      <c r="K20" s="11" t="n">
        <v>1111011</v>
      </c>
      <c r="L20" s="11" t="n">
        <v>1171031</v>
      </c>
      <c r="M20" s="12" t="n">
        <v>1142452</v>
      </c>
      <c r="O20" s="10" t="s">
        <v>33</v>
      </c>
      <c r="P20" s="13" t="n">
        <v>-320000</v>
      </c>
      <c r="Q20" s="13" t="n">
        <v>-115000</v>
      </c>
      <c r="R20" s="11" t="n">
        <v>75000</v>
      </c>
      <c r="S20" s="13" t="n">
        <v>-60000</v>
      </c>
      <c r="T20" s="14" t="n">
        <v>-150000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 t="n">
        <v>23523</v>
      </c>
      <c r="J21" s="11" t="n">
        <v>24209</v>
      </c>
      <c r="K21" s="11" t="n">
        <v>36927</v>
      </c>
      <c r="L21" s="11" t="n">
        <v>47239</v>
      </c>
      <c r="M21" s="12" t="n">
        <v>40663</v>
      </c>
      <c r="O21" s="10" t="s">
        <v>36</v>
      </c>
      <c r="P21" s="13" t="n">
        <v>-891950</v>
      </c>
      <c r="Q21" s="13" t="n">
        <v>-863700</v>
      </c>
      <c r="R21" s="13" t="n">
        <v>-1083329</v>
      </c>
      <c r="S21" s="13" t="n">
        <v>-1075128</v>
      </c>
      <c r="T21" s="14" t="n">
        <v>-1228176</v>
      </c>
    </row>
    <row r="22" customFormat="false" ht="15" hidden="false" customHeight="false" outlineLevel="0" collapsed="false">
      <c r="A22" s="10" t="s">
        <v>37</v>
      </c>
      <c r="B22" s="11" t="n">
        <v>4250944</v>
      </c>
      <c r="C22" s="11" t="n">
        <v>4513589</v>
      </c>
      <c r="D22" s="11" t="n">
        <v>4484440</v>
      </c>
      <c r="E22" s="11" t="n">
        <v>4370895</v>
      </c>
      <c r="F22" s="12" t="n">
        <v>4333162</v>
      </c>
      <c r="H22" s="10" t="s">
        <v>8</v>
      </c>
      <c r="I22" s="11" t="n">
        <v>901592</v>
      </c>
      <c r="J22" s="11" t="n">
        <v>940192</v>
      </c>
      <c r="K22" s="11" t="n">
        <v>1074084</v>
      </c>
      <c r="L22" s="11" t="n">
        <v>1123792</v>
      </c>
      <c r="M22" s="12" t="n">
        <v>1101789</v>
      </c>
      <c r="O22" s="10" t="s">
        <v>38</v>
      </c>
      <c r="P22" s="11" t="n">
        <v>383000</v>
      </c>
      <c r="Q22" s="11" t="n">
        <v>298349</v>
      </c>
      <c r="R22" s="11" t="n">
        <v>113373</v>
      </c>
      <c r="S22" s="11" t="n">
        <v>226682</v>
      </c>
      <c r="T22" s="12" t="n">
        <v>231717</v>
      </c>
    </row>
    <row r="23" customFormat="false" ht="15" hidden="false" customHeight="false" outlineLevel="0" collapsed="false">
      <c r="H23" s="10" t="s">
        <v>39</v>
      </c>
      <c r="I23" s="11" t="n">
        <v>940822</v>
      </c>
      <c r="J23" s="11" t="n">
        <v>844330</v>
      </c>
      <c r="K23" s="11" t="n">
        <v>843446</v>
      </c>
      <c r="L23" s="11" t="n">
        <v>792854</v>
      </c>
      <c r="M23" s="12" t="n">
        <v>1023190</v>
      </c>
      <c r="O23" s="10" t="s">
        <v>40</v>
      </c>
      <c r="P23" s="11" t="n">
        <v>183820</v>
      </c>
      <c r="Q23" s="11" t="n">
        <v>383000</v>
      </c>
      <c r="R23" s="11" t="n">
        <v>298349</v>
      </c>
      <c r="S23" s="11" t="n">
        <v>113373</v>
      </c>
      <c r="T23" s="12" t="n">
        <v>226682</v>
      </c>
    </row>
    <row r="24" customFormat="false" ht="15" hidden="false" customHeight="false" outlineLevel="0" collapsed="false">
      <c r="H24" s="10" t="s">
        <v>41</v>
      </c>
      <c r="I24" s="13" t="n">
        <v>-20000</v>
      </c>
      <c r="J24" s="18" t="s">
        <v>84</v>
      </c>
      <c r="K24" s="18" t="s">
        <v>84</v>
      </c>
      <c r="L24" s="18" t="s">
        <v>84</v>
      </c>
      <c r="M24" s="12" t="n">
        <v>105925</v>
      </c>
      <c r="O24" s="2" t="s">
        <v>42</v>
      </c>
      <c r="P24" s="12" t="n">
        <f aca="false">SUM(P11:P17)</f>
        <v>1078475</v>
      </c>
      <c r="Q24" s="12" t="n">
        <f aca="false">SUM(Q11:Q17)</f>
        <v>1184382</v>
      </c>
      <c r="R24" s="12" t="n">
        <f aca="false">SUM(R11:R17)</f>
        <v>1271129</v>
      </c>
      <c r="S24" s="12" t="n">
        <f aca="false">SUM(S11:S17)</f>
        <v>1074840</v>
      </c>
      <c r="T24" s="12" t="n">
        <f aca="false">SUM(T11:T17)</f>
        <v>1431960</v>
      </c>
    </row>
    <row r="25" customFormat="false" ht="15" hidden="false" customHeight="false" outlineLevel="0" collapsed="false">
      <c r="H25" s="10" t="s">
        <v>43</v>
      </c>
      <c r="I25" s="11" t="n">
        <v>420750</v>
      </c>
      <c r="J25" s="11" t="n">
        <v>459000</v>
      </c>
      <c r="K25" s="11" t="n">
        <v>384700</v>
      </c>
      <c r="L25" s="11" t="n">
        <v>535500</v>
      </c>
      <c r="M25" s="12" t="n">
        <v>535500</v>
      </c>
      <c r="O25" s="2" t="s">
        <v>44</v>
      </c>
      <c r="P25" s="12" t="n">
        <f aca="false">P18+P19</f>
        <v>-65705</v>
      </c>
      <c r="Q25" s="12" t="n">
        <f aca="false">Q18+Q19</f>
        <v>-121031</v>
      </c>
      <c r="R25" s="12" t="n">
        <f aca="false">R18+R19</f>
        <v>-77824</v>
      </c>
      <c r="S25" s="12" t="n">
        <f aca="false">S18+S19</f>
        <v>-53021</v>
      </c>
      <c r="T25" s="12" t="n">
        <f aca="false">T18+T19</f>
        <v>-58819</v>
      </c>
    </row>
    <row r="26" customFormat="false" ht="15" hidden="false" customHeight="false" outlineLevel="0" collapsed="false">
      <c r="H26" s="10" t="s">
        <v>45</v>
      </c>
      <c r="I26" s="11" t="n">
        <v>881950</v>
      </c>
      <c r="J26" s="11" t="n">
        <v>843700</v>
      </c>
      <c r="K26" s="11" t="n">
        <v>1073200</v>
      </c>
      <c r="L26" s="11" t="n">
        <v>1073200</v>
      </c>
      <c r="M26" s="12" t="n">
        <v>1226200</v>
      </c>
      <c r="O26" s="2" t="s">
        <v>46</v>
      </c>
      <c r="P26" s="12" t="n">
        <f aca="false">P20+P21</f>
        <v>-1211950</v>
      </c>
      <c r="Q26" s="12" t="n">
        <f aca="false">Q20+Q21</f>
        <v>-978700</v>
      </c>
      <c r="R26" s="12" t="n">
        <f aca="false">R20+R21</f>
        <v>-1008329</v>
      </c>
      <c r="S26" s="12" t="n">
        <f aca="false">S20+S21</f>
        <v>-1135128</v>
      </c>
      <c r="T26" s="12" t="n">
        <f aca="false">T20+T21</f>
        <v>-1378176</v>
      </c>
    </row>
    <row r="27" customFormat="false" ht="15" hidden="false" customHeight="false" outlineLevel="0" collapsed="false">
      <c r="H27" s="10" t="s">
        <v>47</v>
      </c>
      <c r="I27" s="11" t="n">
        <v>559714</v>
      </c>
      <c r="J27" s="11" t="n">
        <v>481822</v>
      </c>
      <c r="K27" s="11" t="n">
        <v>459630</v>
      </c>
      <c r="L27" s="11" t="n">
        <v>307946</v>
      </c>
      <c r="M27" s="12" t="n">
        <v>257354</v>
      </c>
      <c r="O27" s="2" t="s">
        <v>48</v>
      </c>
      <c r="P27" s="12" t="n">
        <f aca="false">P24+P25+P26</f>
        <v>-199180</v>
      </c>
      <c r="Q27" s="12" t="n">
        <f aca="false">Q24+Q25+Q26</f>
        <v>84651</v>
      </c>
      <c r="R27" s="12" t="n">
        <f aca="false">R24+R25+R26</f>
        <v>184976</v>
      </c>
      <c r="S27" s="12" t="n">
        <f aca="false">S24+S25+S26</f>
        <v>-113309</v>
      </c>
      <c r="T27" s="12" t="n">
        <f aca="false">T24+T25+T26</f>
        <v>-5035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0.113696157841646</v>
      </c>
      <c r="C30" s="24" t="n">
        <f aca="false">C11/C$16</f>
        <v>0.146512453836625</v>
      </c>
      <c r="D30" s="24" t="n">
        <f aca="false">D11/D$16</f>
        <v>0.127441999446977</v>
      </c>
      <c r="E30" s="24" t="n">
        <f aca="false">E11/E$16</f>
        <v>0.102920340113409</v>
      </c>
      <c r="F30" s="24" t="n">
        <f aca="false">F11/F$16</f>
        <v>0.110518138947955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0.517434238830598</v>
      </c>
      <c r="Q30" s="26" t="n">
        <f aca="false">Q11/J$11</f>
        <v>0.498404827589419</v>
      </c>
      <c r="R30" s="26" t="n">
        <f aca="false">R11/K$11</f>
        <v>0.548759327210932</v>
      </c>
      <c r="S30" s="26" t="n">
        <f aca="false">S11/L$11</f>
        <v>0.535388420645969</v>
      </c>
      <c r="T30" s="26" t="n">
        <f aca="false">T11/M$11</f>
        <v>0.518483993488384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0.192302933183782</v>
      </c>
      <c r="C31" s="24" t="n">
        <f aca="false">C12/C$16</f>
        <v>0.167258029031886</v>
      </c>
      <c r="D31" s="24" t="n">
        <f aca="false">D12/D$16</f>
        <v>0.146721329753548</v>
      </c>
      <c r="E31" s="24" t="n">
        <f aca="false">E12/E$16</f>
        <v>0.122756094575596</v>
      </c>
      <c r="F31" s="24" t="n">
        <f aca="false">F12/F$16</f>
        <v>0.0744754061814444</v>
      </c>
      <c r="G31" s="6"/>
      <c r="H31" s="25" t="s">
        <v>10</v>
      </c>
      <c r="I31" s="24" t="n">
        <f aca="false">I12/I$11</f>
        <v>0.421305083573331</v>
      </c>
      <c r="J31" s="24" t="n">
        <f aca="false">J12/J$11</f>
        <v>0.412116479411797</v>
      </c>
      <c r="K31" s="24" t="n">
        <f aca="false">K12/K$11</f>
        <v>0.392934460213367</v>
      </c>
      <c r="L31" s="24" t="n">
        <f aca="false">L12/L$11</f>
        <v>0.412843038420303</v>
      </c>
      <c r="M31" s="24" t="n">
        <f aca="false">M12/M$11</f>
        <v>0.442142243493944</v>
      </c>
      <c r="N31" s="6"/>
      <c r="O31" s="25" t="s">
        <v>11</v>
      </c>
      <c r="P31" s="26" t="n">
        <f aca="false">P12/I$11</f>
        <v>0.121640096752841</v>
      </c>
      <c r="Q31" s="26" t="n">
        <f aca="false">Q12/J$11</f>
        <v>0.113484161865625</v>
      </c>
      <c r="R31" s="26" t="n">
        <f aca="false">R12/K$11</f>
        <v>0.101371785949431</v>
      </c>
      <c r="S31" s="26" t="n">
        <f aca="false">S12/L$11</f>
        <v>0.091438355381517</v>
      </c>
      <c r="T31" s="26" t="n">
        <f aca="false">T12/M$11</f>
        <v>0.0911058899987157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0.0141380361632616</v>
      </c>
      <c r="C32" s="24" t="n">
        <f aca="false">C13/C$16</f>
        <v>0.0183446033743879</v>
      </c>
      <c r="D32" s="24" t="n">
        <f aca="false">D13/D$16</f>
        <v>0.0193732104789004</v>
      </c>
      <c r="E32" s="24" t="n">
        <f aca="false">E13/E$16</f>
        <v>0.0209256914201782</v>
      </c>
      <c r="F32" s="24" t="n">
        <f aca="false">F13/F$16</f>
        <v>0.0225022743206924</v>
      </c>
      <c r="G32" s="6"/>
      <c r="H32" s="25" t="s">
        <v>13</v>
      </c>
      <c r="I32" s="24" t="n">
        <f aca="false">I13/I$11</f>
        <v>0.578694916426669</v>
      </c>
      <c r="J32" s="24" t="n">
        <f aca="false">J13/J$11</f>
        <v>0.587883520588203</v>
      </c>
      <c r="K32" s="24" t="n">
        <f aca="false">K13/K$11</f>
        <v>0.607065539786633</v>
      </c>
      <c r="L32" s="24" t="n">
        <f aca="false">L13/L$11</f>
        <v>0.587156961579697</v>
      </c>
      <c r="M32" s="24" t="n">
        <f aca="false">M13/M$11</f>
        <v>0.557857756506056</v>
      </c>
      <c r="N32" s="6"/>
      <c r="O32" s="25" t="s">
        <v>14</v>
      </c>
      <c r="P32" s="26" t="n">
        <f aca="false">P13/I$11</f>
        <v>-0.0119220150955578</v>
      </c>
      <c r="Q32" s="26" t="n">
        <f aca="false">Q13/J$11</f>
        <v>0.00089267555823272</v>
      </c>
      <c r="R32" s="26" t="n">
        <f aca="false">R13/K$11</f>
        <v>0.0312774901745393</v>
      </c>
      <c r="S32" s="26" t="n">
        <f aca="false">S13/L$11</f>
        <v>-0.0385277436787206</v>
      </c>
      <c r="T32" s="26" t="n">
        <f aca="false">T13/M$11</f>
        <v>-0.0121173779083409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0.67986287281131</v>
      </c>
      <c r="C33" s="24" t="n">
        <f aca="false">C14/C$16</f>
        <v>0.667884913757101</v>
      </c>
      <c r="D33" s="24" t="n">
        <f aca="false">D14/D$16</f>
        <v>0.706463460320575</v>
      </c>
      <c r="E33" s="24" t="n">
        <f aca="false">E14/E$16</f>
        <v>0.753397873890816</v>
      </c>
      <c r="F33" s="24" t="n">
        <f aca="false">F14/F$16</f>
        <v>0.792504180549908</v>
      </c>
      <c r="G33" s="6"/>
      <c r="H33" s="25" t="s">
        <v>16</v>
      </c>
      <c r="I33" s="24" t="n">
        <f aca="false">I14/I$11</f>
        <v>0.00524087262019448</v>
      </c>
      <c r="J33" s="24" t="n">
        <f aca="false">J14/J$11</f>
        <v>0.00664771607017827</v>
      </c>
      <c r="K33" s="24" t="n">
        <f aca="false">K14/K$11</f>
        <v>0.00138991310326501</v>
      </c>
      <c r="L33" s="24" t="n">
        <f aca="false">L14/L$11</f>
        <v>-0.0009185028723217</v>
      </c>
      <c r="M33" s="24" t="n">
        <f aca="false">M14/M$11</f>
        <v>0.0067984389912714</v>
      </c>
      <c r="N33" s="6"/>
      <c r="O33" s="25" t="s">
        <v>9</v>
      </c>
      <c r="P33" s="26" t="n">
        <f aca="false">P14/I$11</f>
        <v>-0.0351687916411484</v>
      </c>
      <c r="Q33" s="26" t="n">
        <f aca="false">Q14/J$11</f>
        <v>-0.0447145068316849</v>
      </c>
      <c r="R33" s="26" t="n">
        <f aca="false">R14/K$11</f>
        <v>-0.0599672920946346</v>
      </c>
      <c r="S33" s="26" t="n">
        <f aca="false">S14/L$11</f>
        <v>-0.09776637840581</v>
      </c>
      <c r="T33" s="26" t="n">
        <f aca="false">T14/M$11</f>
        <v>0.0708675997198934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24" t="n">
        <f aca="false">F15/F$16</f>
        <v>0</v>
      </c>
      <c r="G34" s="6"/>
      <c r="H34" s="25" t="s">
        <v>18</v>
      </c>
      <c r="I34" s="24" t="n">
        <f aca="false">I15/I$11</f>
        <v>0.583935789046863</v>
      </c>
      <c r="J34" s="24" t="n">
        <f aca="false">J15/J$11</f>
        <v>0.594531236658382</v>
      </c>
      <c r="K34" s="24" t="n">
        <f aca="false">K15/K$11</f>
        <v>0.608455452889898</v>
      </c>
      <c r="L34" s="24" t="n">
        <f aca="false">L15/L$11</f>
        <v>0.586238458707375</v>
      </c>
      <c r="M34" s="24" t="n">
        <f aca="false">M15/M$11</f>
        <v>0.564656195497328</v>
      </c>
      <c r="N34" s="6"/>
      <c r="O34" s="25" t="s">
        <v>19</v>
      </c>
      <c r="P34" s="26" t="e">
        <f aca="false">P15/I$11</f>
        <v>#VALUE!</v>
      </c>
      <c r="Q34" s="26" t="e">
        <f aca="false">Q15/J$11</f>
        <v>#VALUE!</v>
      </c>
      <c r="R34" s="26" t="e">
        <f aca="false">R15/K$11</f>
        <v>#VALUE!</v>
      </c>
      <c r="S34" s="26" t="e">
        <f aca="false">S15/L$11</f>
        <v>#VALUE!</v>
      </c>
      <c r="T34" s="26" t="n">
        <f aca="false">T15/M$11</f>
        <v>0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0.0541391870939224</v>
      </c>
      <c r="J35" s="24" t="n">
        <f aca="false">J16/J$11</f>
        <v>0.0549867444148266</v>
      </c>
      <c r="K35" s="24" t="n">
        <f aca="false">K16/K$11</f>
        <v>0.052165700955306</v>
      </c>
      <c r="L35" s="24" t="n">
        <f aca="false">L16/L$11</f>
        <v>0.0447533552329289</v>
      </c>
      <c r="M35" s="24" t="n">
        <f aca="false">M16/M$11</f>
        <v>0.0395530275972147</v>
      </c>
      <c r="N35" s="6"/>
      <c r="O35" s="25" t="s">
        <v>22</v>
      </c>
      <c r="P35" s="26" t="n">
        <f aca="false">P16/I$11</f>
        <v>0.0244092278500162</v>
      </c>
      <c r="Q35" s="26" t="n">
        <f aca="false">Q16/J$11</f>
        <v>0.0253452584438052</v>
      </c>
      <c r="R35" s="26" t="n">
        <f aca="false">R16/K$11</f>
        <v>0.0197032777549199</v>
      </c>
      <c r="S35" s="26" t="n">
        <f aca="false">S16/L$11</f>
        <v>0.0119478524451881</v>
      </c>
      <c r="T35" s="26" t="n">
        <f aca="false">T16/M$11</f>
        <v>0.00280560412844058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0.208001563887927</v>
      </c>
      <c r="C36" s="24" t="n">
        <f aca="false">C17/C$16</f>
        <v>0.258430929355774</v>
      </c>
      <c r="D36" s="24" t="n">
        <f aca="false">D17/D$16</f>
        <v>0.237197955597577</v>
      </c>
      <c r="E36" s="24" t="n">
        <f aca="false">E17/E$16</f>
        <v>0.192515949250668</v>
      </c>
      <c r="F36" s="24" t="n">
        <f aca="false">F17/F$16</f>
        <v>0.177096079029586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-0.00987380626598933</v>
      </c>
      <c r="Q36" s="26" t="n">
        <f aca="false">Q17/J$11</f>
        <v>0.0194970691779571</v>
      </c>
      <c r="R36" s="26" t="n">
        <f aca="false">R17/K$11</f>
        <v>-0.0132985147094197</v>
      </c>
      <c r="S36" s="26" t="n">
        <f aca="false">S17/L$11</f>
        <v>-0.0110700398444626</v>
      </c>
      <c r="T36" s="26" t="n">
        <f aca="false">T17/M$11</f>
        <v>-0.0212730326620064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0.0214721718281869</v>
      </c>
      <c r="C37" s="24" t="n">
        <f aca="false">C18/C$16</f>
        <v>0.0202313502625073</v>
      </c>
      <c r="D37" s="24" t="n">
        <f aca="false">D18/D$16</f>
        <v>0.0471430100525372</v>
      </c>
      <c r="E37" s="24" t="n">
        <f aca="false">E18/E$16</f>
        <v>0.0734362184403881</v>
      </c>
      <c r="F37" s="24" t="n">
        <f aca="false">F18/F$16</f>
        <v>0.0941395682875461</v>
      </c>
      <c r="G37" s="6"/>
      <c r="H37" s="25" t="s">
        <v>26</v>
      </c>
      <c r="I37" s="24" t="n">
        <f aca="false">I18/I$11</f>
        <v>0.00952512711323468</v>
      </c>
      <c r="J37" s="24" t="n">
        <f aca="false">J18/J$11</f>
        <v>0.0404736510637329</v>
      </c>
      <c r="K37" s="24" t="n">
        <f aca="false">K18/K$11</f>
        <v>0.00753042472365969</v>
      </c>
      <c r="L37" s="24" t="n">
        <f aca="false">L18/L$11</f>
        <v>0.00609668282847679</v>
      </c>
      <c r="M37" s="24" t="n">
        <f aca="false">M18/M$11</f>
        <v>0.00661917441172853</v>
      </c>
      <c r="N37" s="6"/>
      <c r="O37" s="25" t="s">
        <v>27</v>
      </c>
      <c r="P37" s="26" t="n">
        <f aca="false">P18/I$11</f>
        <v>-0.05273603469695</v>
      </c>
      <c r="Q37" s="26" t="n">
        <f aca="false">Q18/J$11</f>
        <v>-0.0659275830537577</v>
      </c>
      <c r="R37" s="26" t="n">
        <f aca="false">R18/K$11</f>
        <v>-0.0396135112988476</v>
      </c>
      <c r="S37" s="26" t="n">
        <f aca="false">S18/L$11</f>
        <v>-0.0259553641436412</v>
      </c>
      <c r="T37" s="26" t="n">
        <f aca="false">T18/M$11</f>
        <v>-0.0267857588587336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0.063664314207157</v>
      </c>
      <c r="J38" s="24" t="n">
        <f aca="false">J19/J$11</f>
        <v>0.0954603954785595</v>
      </c>
      <c r="K38" s="24" t="n">
        <f aca="false">K19/K$11</f>
        <v>0.0596961256789656</v>
      </c>
      <c r="L38" s="24" t="n">
        <f aca="false">L19/L$11</f>
        <v>0.0508500380614057</v>
      </c>
      <c r="M38" s="24" t="n">
        <f aca="false">M19/M$11</f>
        <v>0.0461722020089433</v>
      </c>
      <c r="N38" s="6"/>
      <c r="O38" s="25" t="s">
        <v>30</v>
      </c>
      <c r="P38" s="26" t="n">
        <f aca="false">P19/I$11</f>
        <v>0.0157844802909109</v>
      </c>
      <c r="Q38" s="26" t="n">
        <f aca="false">Q19/J$11</f>
        <v>0.0032948784227639</v>
      </c>
      <c r="R38" s="26" t="n">
        <f aca="false">R19/K$11</f>
        <v>0.0011740666121041</v>
      </c>
      <c r="S38" s="26" t="n">
        <f aca="false">S19/L$11</f>
        <v>0.00171447773579212</v>
      </c>
      <c r="T38" s="26" t="n">
        <f aca="false">T19/M$11</f>
        <v>9.16745444750883E-005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0.770526264283886</v>
      </c>
      <c r="C39" s="24" t="n">
        <f aca="false">C20/C$16</f>
        <v>0.721337720381718</v>
      </c>
      <c r="D39" s="24" t="n">
        <f aca="false">D20/D$16</f>
        <v>0.715659034349885</v>
      </c>
      <c r="E39" s="24" t="n">
        <f aca="false">E20/E$16</f>
        <v>0.734047832308944</v>
      </c>
      <c r="F39" s="24" t="n">
        <f aca="false">F20/F$16</f>
        <v>0.728764352682868</v>
      </c>
      <c r="G39" s="6"/>
      <c r="H39" s="25" t="s">
        <v>32</v>
      </c>
      <c r="I39" s="24" t="n">
        <f aca="false">I20/I$11</f>
        <v>0.520271474839706</v>
      </c>
      <c r="J39" s="24" t="n">
        <f aca="false">J20/J$11</f>
        <v>0.499070841179822</v>
      </c>
      <c r="K39" s="24" t="n">
        <f aca="false">K20/K$11</f>
        <v>0.548759327210932</v>
      </c>
      <c r="L39" s="24" t="n">
        <f aca="false">L20/L$11</f>
        <v>0.535388420645969</v>
      </c>
      <c r="M39" s="24" t="n">
        <f aca="false">M20/M$11</f>
        <v>0.518483993488384</v>
      </c>
      <c r="N39" s="6"/>
      <c r="O39" s="25" t="s">
        <v>33</v>
      </c>
      <c r="P39" s="26" t="n">
        <f aca="false">P20/I$11</f>
        <v>-0.179963433679819</v>
      </c>
      <c r="Q39" s="26" t="n">
        <f aca="false">Q20/J$11</f>
        <v>-0.0595117038821813</v>
      </c>
      <c r="R39" s="26" t="n">
        <f aca="false">R20/K$11</f>
        <v>0.0370445923045046</v>
      </c>
      <c r="S39" s="26" t="n">
        <f aca="false">S20/L$11</f>
        <v>-0.027431643772674</v>
      </c>
      <c r="T39" s="26" t="n">
        <f aca="false">T20/M$11</f>
        <v>-0.0680751567884319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0.0132289995326575</v>
      </c>
      <c r="J40" s="24" t="n">
        <f aca="false">J21/J$11</f>
        <v>0.012527989906815</v>
      </c>
      <c r="K40" s="24" t="n">
        <f aca="false">K21/K$11</f>
        <v>0.0182392754670459</v>
      </c>
      <c r="L40" s="24" t="n">
        <f aca="false">L21/L$11</f>
        <v>0.0215973903362891</v>
      </c>
      <c r="M40" s="24" t="n">
        <f aca="false">M21/M$11</f>
        <v>0.0184542673365867</v>
      </c>
      <c r="N40" s="6"/>
      <c r="O40" s="25" t="s">
        <v>36</v>
      </c>
      <c r="P40" s="26" t="n">
        <f aca="false">P21/I$11</f>
        <v>-0.501619952095984</v>
      </c>
      <c r="Q40" s="26" t="n">
        <f aca="false">Q21/J$11</f>
        <v>-0.446958770809044</v>
      </c>
      <c r="R40" s="26" t="n">
        <f aca="false">R21/K$11</f>
        <v>-0.535086415155288</v>
      </c>
      <c r="S40" s="26" t="n">
        <f aca="false">S21/L$11</f>
        <v>-0.49154213843379</v>
      </c>
      <c r="T40" s="26" t="n">
        <f aca="false">T21/M$11</f>
        <v>-0.557388491758595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0.507042475307049</v>
      </c>
      <c r="J41" s="24" t="n">
        <f aca="false">J22/J$11</f>
        <v>0.486542851273007</v>
      </c>
      <c r="K41" s="24" t="n">
        <f aca="false">K22/K$11</f>
        <v>0.530520051743886</v>
      </c>
      <c r="L41" s="24" t="n">
        <f aca="false">L22/L$11</f>
        <v>0.51379103030968</v>
      </c>
      <c r="M41" s="24" t="n">
        <f aca="false">M22/M$11</f>
        <v>0.500029726151798</v>
      </c>
      <c r="N41" s="6"/>
      <c r="O41" s="25" t="s">
        <v>38</v>
      </c>
      <c r="P41" s="26" t="n">
        <f aca="false">P22/I$11</f>
        <v>0.215393734685534</v>
      </c>
      <c r="Q41" s="26" t="n">
        <f aca="false">Q22/J$11</f>
        <v>0.154393542100391</v>
      </c>
      <c r="R41" s="26" t="n">
        <f aca="false">R22/K$11</f>
        <v>0.0559980875111813</v>
      </c>
      <c r="S41" s="26" t="n">
        <f aca="false">S22/L$11</f>
        <v>0.103637664561288</v>
      </c>
      <c r="T41" s="26" t="n">
        <f aca="false">T22/M$11</f>
        <v>0.105161140703634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0.529104867504734</v>
      </c>
      <c r="J42" s="24" t="n">
        <f aca="false">J23/J$11</f>
        <v>0.436934929902975</v>
      </c>
      <c r="K42" s="24" t="n">
        <f aca="false">K23/K$11</f>
        <v>0.416601509344869</v>
      </c>
      <c r="L42" s="24" t="n">
        <f aca="false">L23/L$11</f>
        <v>0.362488141528994</v>
      </c>
      <c r="M42" s="24" t="n">
        <f aca="false">M23/M$11</f>
        <v>0.464358797829038</v>
      </c>
      <c r="N42" s="6"/>
      <c r="O42" s="25" t="s">
        <v>40</v>
      </c>
      <c r="P42" s="26" t="n">
        <f aca="false">P23/I$11</f>
        <v>0.103377744934451</v>
      </c>
      <c r="Q42" s="26" t="n">
        <f aca="false">Q23/J$11</f>
        <v>0.198199848581526</v>
      </c>
      <c r="R42" s="26" t="n">
        <f aca="false">R23/K$11</f>
        <v>0.147362894259422</v>
      </c>
      <c r="S42" s="26" t="n">
        <f aca="false">S23/L$11</f>
        <v>0.0518334624906561</v>
      </c>
      <c r="T42" s="26" t="n">
        <f aca="false">T23/M$11</f>
        <v>0.102876084607436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-0.0112477146049887</v>
      </c>
      <c r="J43" s="24" t="e">
        <f aca="false">J24/J$11</f>
        <v>#VALUE!</v>
      </c>
      <c r="K43" s="24" t="e">
        <f aca="false">K24/K$11</f>
        <v>#VALUE!</v>
      </c>
      <c r="L43" s="24" t="e">
        <f aca="false">L24/L$11</f>
        <v>#VALUE!</v>
      </c>
      <c r="M43" s="24" t="n">
        <f aca="false">M24/M$11</f>
        <v>0.0480724065520977</v>
      </c>
      <c r="N43" s="6"/>
      <c r="O43" s="2" t="s">
        <v>49</v>
      </c>
      <c r="P43" s="26" t="n">
        <f aca="false">P24/I11</f>
        <v>0.606518950430759</v>
      </c>
      <c r="Q43" s="26" t="n">
        <f aca="false">Q24/J11</f>
        <v>0.612909485803354</v>
      </c>
      <c r="R43" s="26" t="n">
        <f aca="false">R24/K11</f>
        <v>0.627846074285768</v>
      </c>
      <c r="S43" s="26" t="n">
        <f aca="false">S24/L11</f>
        <v>0.491410466543682</v>
      </c>
      <c r="T43" s="26" t="n">
        <f aca="false">T24/M11</f>
        <v>0.649872676765087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0.23662379600245</v>
      </c>
      <c r="J44" s="24" t="n">
        <f aca="false">J25/J$11</f>
        <v>0.237529322451489</v>
      </c>
      <c r="K44" s="24" t="n">
        <f aca="false">K25/K$11</f>
        <v>0.190014062127239</v>
      </c>
      <c r="L44" s="24" t="n">
        <f aca="false">L25/L$11</f>
        <v>0.244827420671115</v>
      </c>
      <c r="M44" s="24" t="n">
        <f aca="false">M25/M$11</f>
        <v>0.243028309734702</v>
      </c>
      <c r="N44" s="6"/>
      <c r="O44" s="2" t="s">
        <v>50</v>
      </c>
      <c r="P44" s="26" t="n">
        <f aca="false">P24/B16</f>
        <v>0.253702471733337</v>
      </c>
      <c r="Q44" s="26" t="n">
        <f aca="false">Q24/C16</f>
        <v>0.262403599441597</v>
      </c>
      <c r="R44" s="26" t="n">
        <f aca="false">R24/D16</f>
        <v>0.283453229388731</v>
      </c>
      <c r="S44" s="26" t="n">
        <f aca="false">S24/E16</f>
        <v>0.245908446668245</v>
      </c>
      <c r="T44" s="26" t="n">
        <f aca="false">T24/F16</f>
        <v>0.330465373784779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0.495996094793489</v>
      </c>
      <c r="J45" s="24" t="n">
        <f aca="false">J26/J$11</f>
        <v>0.436608909264316</v>
      </c>
      <c r="K45" s="24" t="n">
        <f aca="false">K26/K$11</f>
        <v>0.530083419482591</v>
      </c>
      <c r="L45" s="24" t="n">
        <f aca="false">L26/L$11</f>
        <v>0.490660668280562</v>
      </c>
      <c r="M45" s="24" t="n">
        <f aca="false">M26/M$11</f>
        <v>0.556491715026502</v>
      </c>
      <c r="N45" s="6"/>
      <c r="O45" s="2" t="s">
        <v>51</v>
      </c>
      <c r="P45" s="26" t="n">
        <f aca="false">P24/B20</f>
        <v>0.32925869434071</v>
      </c>
      <c r="Q45" s="26" t="n">
        <f aca="false">Q24/C20</f>
        <v>0.363773572388171</v>
      </c>
      <c r="R45" s="26" t="n">
        <f aca="false">R24/D20</f>
        <v>0.396073012124026</v>
      </c>
      <c r="S45" s="26" t="n">
        <f aca="false">S24/E20</f>
        <v>0.335003300663312</v>
      </c>
      <c r="T45" s="26" t="n">
        <f aca="false">T24/F20</f>
        <v>0.45345984963206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0.314775166620832</v>
      </c>
      <c r="J46" s="24" t="n">
        <f aca="false">J27/J$11</f>
        <v>0.249339549460177</v>
      </c>
      <c r="K46" s="24" t="n">
        <f aca="false">K27/K$11</f>
        <v>0.227024079478926</v>
      </c>
      <c r="L46" s="24" t="n">
        <f aca="false">L27/L$11</f>
        <v>0.140791082886998</v>
      </c>
      <c r="M46" s="24" t="n">
        <f aca="false">M27/M$11</f>
        <v>0.116796092667534</v>
      </c>
      <c r="N46" s="6"/>
      <c r="O46" s="2" t="s">
        <v>52</v>
      </c>
      <c r="P46" s="26" t="n">
        <f aca="false">P24/I22</f>
        <v>1.19618962901179</v>
      </c>
      <c r="Q46" s="26" t="n">
        <f aca="false">Q24/J22</f>
        <v>1.25972354582894</v>
      </c>
      <c r="R46" s="26" t="n">
        <f aca="false">R24/K22</f>
        <v>1.18345399428723</v>
      </c>
      <c r="S46" s="26" t="n">
        <f aca="false">S24/L22</f>
        <v>0.956440337713741</v>
      </c>
      <c r="T46" s="26" t="n">
        <f aca="false">T24/M22</f>
        <v>1.29966808526859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1.10558391766105</v>
      </c>
      <c r="Q47" s="26" t="n">
        <f aca="false">Q24/(C22-C20)</f>
        <v>0.941654535378969</v>
      </c>
      <c r="R47" s="26" t="n">
        <f aca="false">R24/(D22-D20)</f>
        <v>0.996877916415055</v>
      </c>
      <c r="S47" s="26" t="n">
        <f aca="false">S24/(E22-E20)</f>
        <v>0.92463411298044</v>
      </c>
      <c r="T47" s="26" t="n">
        <f aca="false">T24/(F22-F20)</f>
        <v>1.21836999322731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2.56322043969103</v>
      </c>
      <c r="Q48" s="26" t="n">
        <f aca="false">Q24/J25</f>
        <v>2.58035294117647</v>
      </c>
      <c r="R48" s="26" t="n">
        <f aca="false">R24/K25</f>
        <v>3.30420847413569</v>
      </c>
      <c r="S48" s="26" t="n">
        <f aca="false">S24/L25</f>
        <v>2.00717086834734</v>
      </c>
      <c r="T48" s="26" t="n">
        <f aca="false">T24/M25</f>
        <v>2.67406162464986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11.5010344239219</v>
      </c>
      <c r="Q49" s="26" t="n">
        <f aca="false">Q24/(Q18*-1)</f>
        <v>9.29670795459897</v>
      </c>
      <c r="R49" s="26" t="n">
        <f aca="false">R24/(R18*-1)</f>
        <v>15.8492911559706</v>
      </c>
      <c r="S49" s="26" t="n">
        <f aca="false">S24/(S18*-1)</f>
        <v>18.9329058850469</v>
      </c>
      <c r="T49" s="26" t="n">
        <f aca="false">T24/(T18*-1)</f>
        <v>24.2618728926992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-0.0989452294567078</v>
      </c>
      <c r="J50" s="28" t="n">
        <f aca="false">LN(J13/K13)</f>
        <v>-0.0787145223698539</v>
      </c>
      <c r="K50" s="28" t="n">
        <f aca="false">LN(K13/L13)</f>
        <v>-0.0439370256181939</v>
      </c>
      <c r="L50" s="28" t="n">
        <f aca="false">LN(L13/M13)</f>
        <v>0.0438125476829676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0.546612033661953</v>
      </c>
      <c r="C51" s="30" t="n">
        <f aca="false">C11/C17</f>
        <v>0.566930801208109</v>
      </c>
      <c r="D51" s="30" t="n">
        <f aca="false">D11/D17</f>
        <v>0.537281188304973</v>
      </c>
      <c r="E51" s="30" t="n">
        <f aca="false">E11/E17</f>
        <v>0.534606823559332</v>
      </c>
      <c r="F51" s="30" t="n">
        <f aca="false">F11/F17</f>
        <v>0.62405751473183</v>
      </c>
      <c r="H51" s="29" t="s">
        <v>58</v>
      </c>
      <c r="I51" s="31" t="n">
        <f aca="false">I13/I11</f>
        <v>0.578694916426669</v>
      </c>
      <c r="J51" s="31" t="n">
        <f aca="false">J13/J11</f>
        <v>0.587883520588203</v>
      </c>
      <c r="K51" s="31" t="n">
        <f aca="false">K13/K11</f>
        <v>0.607065539786633</v>
      </c>
      <c r="L51" s="31" t="n">
        <f aca="false">L13/L11</f>
        <v>0.587156961579697</v>
      </c>
      <c r="M51" s="31" t="n">
        <f aca="false">M13/M11</f>
        <v>0.557857756506056</v>
      </c>
      <c r="O51" s="2" t="s">
        <v>59</v>
      </c>
      <c r="P51" s="32" t="n">
        <f aca="false">(P11-P24-P25)/B16</f>
        <v>-0.0218069210038994</v>
      </c>
      <c r="Q51" s="32" t="n">
        <f aca="false">(Q11-Q24-Q25)/C16</f>
        <v>-0.022207826188871</v>
      </c>
      <c r="R51" s="32" t="n">
        <f aca="false">(R11-R24-R25)/D16</f>
        <v>-0.0183510092676009</v>
      </c>
      <c r="S51" s="32" t="n">
        <f aca="false">(S11-S24-S25)/E16</f>
        <v>0.0341376308513474</v>
      </c>
      <c r="T51" s="32" t="n">
        <f aca="false">(T11-T24-T25)/F16</f>
        <v>-0.0532380280266466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0.217625779121061</v>
      </c>
      <c r="C52" s="31" t="n">
        <f aca="false">J20/C16</f>
        <v>0.213666109165013</v>
      </c>
      <c r="D52" s="31" t="n">
        <f aca="false">K20/D16</f>
        <v>0.247747990830516</v>
      </c>
      <c r="E52" s="31" t="n">
        <f aca="false">L20/E16</f>
        <v>0.267915609960889</v>
      </c>
      <c r="F52" s="31" t="n">
        <f aca="false">M20/F16</f>
        <v>0.263653193672427</v>
      </c>
      <c r="G52" s="31"/>
      <c r="H52" s="29" t="s">
        <v>61</v>
      </c>
      <c r="I52" s="31" t="n">
        <f aca="false">I16/I11</f>
        <v>0.0541391870939224</v>
      </c>
      <c r="J52" s="31" t="n">
        <f aca="false">J16/J11</f>
        <v>0.0549867444148266</v>
      </c>
      <c r="K52" s="31" t="n">
        <f aca="false">K16/K11</f>
        <v>0.052165700955306</v>
      </c>
      <c r="L52" s="31" t="n">
        <f aca="false">L16/L11</f>
        <v>0.0447533552329289</v>
      </c>
      <c r="M52" s="31" t="n">
        <f aca="false">M16/M11</f>
        <v>0.0395530275972147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0.282437846973742</v>
      </c>
      <c r="C53" s="31" t="n">
        <f aca="false">J20/C20</f>
        <v>0.296208146514152</v>
      </c>
      <c r="D53" s="31" t="n">
        <f aca="false">K20/D20</f>
        <v>0.346181601767347</v>
      </c>
      <c r="E53" s="31" t="n">
        <f aca="false">L20/E20</f>
        <v>0.364983858229186</v>
      </c>
      <c r="F53" s="31" t="n">
        <f aca="false">M20/F20</f>
        <v>0.361781133643291</v>
      </c>
      <c r="H53" s="29" t="s">
        <v>11</v>
      </c>
      <c r="I53" s="31" t="e">
        <f aca="false">I17/I11</f>
        <v>#VALUE!</v>
      </c>
      <c r="J53" s="31" t="e">
        <f aca="false">J17/J11</f>
        <v>#VALUE!</v>
      </c>
      <c r="K53" s="31" t="e">
        <f aca="false">K17/K11</f>
        <v>#VALUE!</v>
      </c>
      <c r="L53" s="31" t="e">
        <f aca="false">L17/L11</f>
        <v>#VALUE!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2.17517606172222</v>
      </c>
      <c r="C54" s="30" t="n">
        <f aca="false">J11/C12</f>
        <v>2.55968468766806</v>
      </c>
      <c r="D54" s="30" t="n">
        <f aca="false">K11/D12</f>
        <v>3.07705296498435</v>
      </c>
      <c r="E54" s="30" t="n">
        <f aca="false">L11/E12</f>
        <v>4.07648624369588</v>
      </c>
      <c r="F54" s="30" t="n">
        <f aca="false">M11/F12</f>
        <v>6.82786306141041</v>
      </c>
      <c r="H54" s="29" t="s">
        <v>64</v>
      </c>
      <c r="I54" s="31" t="n">
        <f aca="false">I25/I22</f>
        <v>0.46667450465399</v>
      </c>
      <c r="J54" s="31" t="n">
        <f aca="false">J25/J22</f>
        <v>0.488198155270413</v>
      </c>
      <c r="K54" s="31" t="n">
        <f aca="false">K25/K22</f>
        <v>0.358165655572562</v>
      </c>
      <c r="L54" s="31" t="n">
        <f aca="false">L25/L22</f>
        <v>0.476511667639563</v>
      </c>
      <c r="M54" s="31" t="n">
        <f aca="false">M25/M22</f>
        <v>0.486027724001601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0.229473735716114</v>
      </c>
      <c r="C55" s="31" t="n">
        <f aca="false">(C22-C20)/C16</f>
        <v>0.278662279618282</v>
      </c>
      <c r="D55" s="31" t="n">
        <f aca="false">(D22-D20)/D16</f>
        <v>0.284340965650115</v>
      </c>
      <c r="E55" s="31" t="n">
        <f aca="false">(E22-E20)/E16</f>
        <v>0.265952167691056</v>
      </c>
      <c r="F55" s="31" t="n">
        <f aca="false">(F22-F20)/F16</f>
        <v>0.271235647317132</v>
      </c>
      <c r="H55" s="29" t="s">
        <v>66</v>
      </c>
      <c r="I55" s="31" t="n">
        <f aca="false">I22/I11</f>
        <v>0.507042475307049</v>
      </c>
      <c r="J55" s="31" t="n">
        <f aca="false">J22/J11</f>
        <v>0.486542851273007</v>
      </c>
      <c r="K55" s="31" t="n">
        <f aca="false">K22/K11</f>
        <v>0.530520051743886</v>
      </c>
      <c r="L55" s="31" t="n">
        <f aca="false">L22/L11</f>
        <v>0.51379103030968</v>
      </c>
      <c r="M55" s="31" t="n">
        <f aca="false">M22/M11</f>
        <v>0.500029726151798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0.297814294402259</v>
      </c>
      <c r="C56" s="31" t="n">
        <f aca="false">(C22-C20)/C20</f>
        <v>0.386313195254532</v>
      </c>
      <c r="D56" s="31" t="n">
        <f aca="false">(D22-D20)/D20</f>
        <v>0.397313457949167</v>
      </c>
      <c r="E56" s="31" t="n">
        <f aca="false">(E22-E20)/E20</f>
        <v>0.362309043069449</v>
      </c>
      <c r="F56" s="31" t="n">
        <f aca="false">(F22-F20)/F20</f>
        <v>0.372185667861782</v>
      </c>
      <c r="H56" s="33" t="s">
        <v>68</v>
      </c>
      <c r="I56" s="50" t="n">
        <f aca="false">I13/B16</f>
        <v>0.242063880399271</v>
      </c>
      <c r="J56" s="50" t="n">
        <f aca="false">J13/C16</f>
        <v>0.251689287615687</v>
      </c>
      <c r="K56" s="50" t="n">
        <f aca="false">K13/D16</f>
        <v>0.274071455967746</v>
      </c>
      <c r="L56" s="50" t="n">
        <f aca="false">L13/E16</f>
        <v>0.293821288317381</v>
      </c>
      <c r="M56" s="50" t="n">
        <f aca="false">M13/F16</f>
        <v>0.283675062229384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0.41829273686033</v>
      </c>
      <c r="C57" s="30" t="n">
        <f aca="false">J11/C16</f>
        <v>0.428127815802458</v>
      </c>
      <c r="D57" s="30" t="n">
        <f aca="false">K11/D16</f>
        <v>0.451469302744601</v>
      </c>
      <c r="E57" s="30" t="n">
        <f aca="false">L11/E16</f>
        <v>0.500413530867248</v>
      </c>
      <c r="F57" s="30" t="n">
        <f aca="false">M11/F16</f>
        <v>0.508507874849821</v>
      </c>
      <c r="H57" s="33" t="s">
        <v>70</v>
      </c>
      <c r="I57" s="51" t="n">
        <f aca="false">I25/$C$5</f>
        <v>0.0679716896127648</v>
      </c>
      <c r="J57" s="51" t="n">
        <f aca="false">J25/$C$5</f>
        <v>0.0741509341230161</v>
      </c>
      <c r="K57" s="51" t="n">
        <f aca="false">K25/$C$5</f>
        <v>0.0621478526299004</v>
      </c>
      <c r="L57" s="51" t="n">
        <f aca="false">L25/$C$5</f>
        <v>0.0865094231435188</v>
      </c>
      <c r="M57" s="51" t="n">
        <f aca="false">M25/$C$5</f>
        <v>0.0865094231435188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1.29781429440226</v>
      </c>
      <c r="C58" s="30" t="n">
        <f aca="false">C16/C20</f>
        <v>1.38631319525453</v>
      </c>
      <c r="D58" s="30" t="n">
        <f aca="false">D16/D20</f>
        <v>1.39731345794917</v>
      </c>
      <c r="E58" s="30" t="n">
        <f aca="false">E16/E20</f>
        <v>1.36230904306945</v>
      </c>
      <c r="F58" s="30" t="n">
        <f aca="false">F16/F20</f>
        <v>1.37218566786178</v>
      </c>
      <c r="H58" s="25" t="s">
        <v>72</v>
      </c>
      <c r="I58" s="39" t="n">
        <f aca="false">I22/$C$7/1000</f>
        <v>5.89887256339758</v>
      </c>
      <c r="J58" s="39" t="n">
        <f aca="false">J22/$C$7/1000</f>
        <v>6.15142192158526</v>
      </c>
      <c r="K58" s="39" t="n">
        <f aca="false">K22/$C$7/1000</f>
        <v>7.02744105802217</v>
      </c>
      <c r="L58" s="39" t="n">
        <f aca="false">L22/$C$7/1000</f>
        <v>7.35266705534842</v>
      </c>
      <c r="M58" s="39" t="n">
        <f aca="false">M22/$C$7/1000</f>
        <v>7.20870737845195</v>
      </c>
    </row>
    <row r="59" customFormat="false" ht="15" hidden="false" customHeight="false" outlineLevel="0" collapsed="false">
      <c r="H59" s="25" t="s">
        <v>73</v>
      </c>
      <c r="I59" s="39" t="n">
        <f aca="false">B20/$C$7/1000</f>
        <v>21.4304748955142</v>
      </c>
      <c r="J59" s="39" t="n">
        <f aca="false">C20/$C$7/1000</f>
        <v>21.3019626029359</v>
      </c>
      <c r="K59" s="39" t="n">
        <f aca="false">D20/$C$7/1000</f>
        <v>20.997778023639</v>
      </c>
      <c r="L59" s="39" t="n">
        <f aca="false">E20/$C$7/1000</f>
        <v>20.9919942507727</v>
      </c>
      <c r="M59" s="39" t="n">
        <f aca="false">F20/$C$7/1000</f>
        <v>20.6609844805802</v>
      </c>
    </row>
    <row r="60" customFormat="false" ht="15" hidden="false" customHeight="false" outlineLevel="0" collapsed="false">
      <c r="H60" s="33" t="s">
        <v>74</v>
      </c>
      <c r="I60" s="52" t="n">
        <f aca="false">SQRT(22.5*I58*I59)</f>
        <v>53.332465802632</v>
      </c>
      <c r="J60" s="52" t="n">
        <f aca="false">SQRT(22.5*J58*J59)</f>
        <v>54.2986242357117</v>
      </c>
      <c r="K60" s="52" t="n">
        <f aca="false">SQRT(22.5*K58*K59)</f>
        <v>57.6204353223535</v>
      </c>
      <c r="L60" s="52" t="n">
        <f aca="false">SQRT(22.5*L58*L59)</f>
        <v>58.9305587319406</v>
      </c>
      <c r="M60" s="52" t="n">
        <f aca="false">SQRT(22.5*M58*M59)</f>
        <v>57.8889221147095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4.18443457175644</v>
      </c>
      <c r="J61" s="39" t="n">
        <f aca="false">J58-(C20*0.08/1000/$C$7)</f>
        <v>4.44726491335038</v>
      </c>
      <c r="K61" s="39" t="n">
        <f aca="false">K58-(D20*0.08/1000/$C$7)</f>
        <v>5.34761881613105</v>
      </c>
      <c r="L61" s="39" t="n">
        <f aca="false">L58-(E20*0.08/1000/$C$7)</f>
        <v>5.6733075152866</v>
      </c>
      <c r="M61" s="39" t="n">
        <f aca="false">M58-(F20*0.08/1000/$C$7)</f>
        <v>5.55582862000554</v>
      </c>
    </row>
    <row r="62" customFormat="false" ht="15" hidden="false" customHeight="false" outlineLevel="0" collapsed="false">
      <c r="H62" s="2" t="s">
        <v>76</v>
      </c>
      <c r="I62" s="53" t="n">
        <f aca="false">I25/$C$7/1000</f>
        <v>2.75285343154058</v>
      </c>
      <c r="J62" s="53" t="n">
        <f aca="false">J25/$C$7/1000</f>
        <v>3.0031128344079</v>
      </c>
      <c r="K62" s="53" t="n">
        <f aca="false">K25/$C$7/1000</f>
        <v>2.51698803354405</v>
      </c>
      <c r="L62" s="53" t="n">
        <f aca="false">L25/$C$7/1000</f>
        <v>3.50363164014255</v>
      </c>
      <c r="M62" s="53" t="n">
        <f aca="false">M25/$C$7/1000</f>
        <v>3.50363164014255</v>
      </c>
    </row>
    <row r="63" customFormat="false" ht="15" hidden="false" customHeight="false" outlineLevel="0" collapsed="false">
      <c r="A63" s="2"/>
      <c r="H63" s="25" t="s">
        <v>91</v>
      </c>
      <c r="I63" s="2"/>
      <c r="J63" s="2" t="n">
        <v>10.55</v>
      </c>
      <c r="K63" s="54" t="n">
        <v>13.63</v>
      </c>
      <c r="L63" s="54" t="n">
        <v>13.81</v>
      </c>
      <c r="M63" s="54" t="n">
        <v>13.19</v>
      </c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0.000525974384832825</v>
      </c>
      <c r="K74" s="6" t="n">
        <f aca="false">K59*$C$7/$C$5</f>
        <v>0.000518463654485881</v>
      </c>
      <c r="L74" s="6" t="n">
        <f aca="false">L59*$C$7/$C$5</f>
        <v>0.000518320845279422</v>
      </c>
      <c r="M74" s="6" t="n">
        <f aca="false">M59*$C$7/$C$5</f>
        <v>0.000510147764540529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e">
        <f aca="false">(J15-J16)/$C$6</f>
        <v>#VALUE!</v>
      </c>
      <c r="K77" s="28" t="e">
        <f aca="false">(K15-K16)/$C$6</f>
        <v>#VALUE!</v>
      </c>
      <c r="L77" s="28" t="e">
        <f aca="false">(L15-L16)/$C$6</f>
        <v>#VALUE!</v>
      </c>
      <c r="M77" s="28" t="e">
        <f aca="false">(M15-M16)/$C$6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30.572072072072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55" t="n">
        <v>2459.6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2422153</v>
      </c>
      <c r="M6" s="6"/>
    </row>
    <row r="7" customFormat="false" ht="15" hidden="false" customHeight="false" outlineLevel="0" collapsed="false">
      <c r="A7" s="2"/>
      <c r="B7" s="2" t="n">
        <v>189.2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284389</v>
      </c>
      <c r="C11" s="56" t="n">
        <v>295189</v>
      </c>
      <c r="D11" s="56" t="n">
        <v>619164</v>
      </c>
      <c r="E11" s="56" t="n">
        <v>1104908</v>
      </c>
      <c r="G11" s="25" t="s">
        <v>7</v>
      </c>
      <c r="H11" s="56" t="n">
        <v>560522</v>
      </c>
      <c r="I11" s="56" t="n">
        <v>454849</v>
      </c>
      <c r="J11" s="56" t="n">
        <v>433426</v>
      </c>
      <c r="K11" s="56" t="n">
        <v>428562</v>
      </c>
      <c r="M11" s="25" t="s">
        <v>8</v>
      </c>
      <c r="N11" s="56" t="n">
        <v>241865</v>
      </c>
      <c r="O11" s="56" t="n">
        <v>221752</v>
      </c>
      <c r="P11" s="56" t="n">
        <v>218424</v>
      </c>
      <c r="Q11" s="56" t="n">
        <v>242902</v>
      </c>
    </row>
    <row r="12" customFormat="false" ht="15" hidden="false" customHeight="false" outlineLevel="0" collapsed="false">
      <c r="A12" s="25" t="s">
        <v>9</v>
      </c>
      <c r="B12" s="56" t="n">
        <v>177771</v>
      </c>
      <c r="C12" s="56" t="n">
        <v>134808</v>
      </c>
      <c r="D12" s="56" t="n">
        <v>117808</v>
      </c>
      <c r="E12" s="56" t="n">
        <v>119358</v>
      </c>
      <c r="G12" s="25" t="s">
        <v>10</v>
      </c>
      <c r="H12" s="56" t="n">
        <v>191727</v>
      </c>
      <c r="I12" s="56" t="n">
        <v>147869</v>
      </c>
      <c r="J12" s="56" t="n">
        <v>129906</v>
      </c>
      <c r="K12" s="56" t="n">
        <v>100272</v>
      </c>
      <c r="M12" s="25" t="s">
        <v>11</v>
      </c>
      <c r="N12" s="56" t="n">
        <v>90523</v>
      </c>
      <c r="O12" s="56" t="n">
        <v>52513</v>
      </c>
      <c r="P12" s="56" t="n">
        <v>53814</v>
      </c>
      <c r="Q12" s="56" t="n">
        <v>50354</v>
      </c>
    </row>
    <row r="13" customFormat="false" ht="15" hidden="false" customHeight="false" outlineLevel="0" collapsed="false">
      <c r="A13" s="25" t="s">
        <v>12</v>
      </c>
      <c r="B13" s="57"/>
      <c r="C13" s="57"/>
      <c r="D13" s="57"/>
      <c r="E13" s="56" t="n">
        <v>100</v>
      </c>
      <c r="G13" s="25" t="s">
        <v>13</v>
      </c>
      <c r="H13" s="56" t="n">
        <v>368795</v>
      </c>
      <c r="I13" s="56" t="n">
        <v>306980</v>
      </c>
      <c r="J13" s="56" t="n">
        <v>303520</v>
      </c>
      <c r="K13" s="56" t="n">
        <v>328290</v>
      </c>
      <c r="M13" s="25" t="s">
        <v>14</v>
      </c>
      <c r="N13" s="58" t="n">
        <v>-19764</v>
      </c>
      <c r="O13" s="58" t="n">
        <v>-5044</v>
      </c>
      <c r="P13" s="56" t="n">
        <v>879</v>
      </c>
      <c r="Q13" s="56" t="n">
        <v>25891</v>
      </c>
    </row>
    <row r="14" customFormat="false" ht="15" hidden="false" customHeight="false" outlineLevel="0" collapsed="false">
      <c r="A14" s="25" t="s">
        <v>15</v>
      </c>
      <c r="B14" s="56" t="n">
        <v>1741714</v>
      </c>
      <c r="C14" s="56" t="n">
        <v>1681538</v>
      </c>
      <c r="D14" s="56" t="n">
        <v>1369214</v>
      </c>
      <c r="E14" s="56" t="n">
        <v>808787</v>
      </c>
      <c r="G14" s="25" t="s">
        <v>16</v>
      </c>
      <c r="H14" s="57"/>
      <c r="I14" s="57"/>
      <c r="J14" s="56" t="n">
        <v>228</v>
      </c>
      <c r="K14" s="56" t="n">
        <v>705</v>
      </c>
      <c r="M14" s="25" t="s">
        <v>9</v>
      </c>
      <c r="N14" s="58" t="n">
        <v>-42963</v>
      </c>
      <c r="O14" s="58" t="n">
        <v>-17000</v>
      </c>
      <c r="P14" s="56" t="n">
        <v>1550</v>
      </c>
      <c r="Q14" s="58" t="n">
        <v>-19635</v>
      </c>
    </row>
    <row r="15" customFormat="false" ht="15" hidden="false" customHeight="false" outlineLevel="0" collapsed="false">
      <c r="A15" s="25" t="s">
        <v>17</v>
      </c>
      <c r="B15" s="56" t="n">
        <v>4680</v>
      </c>
      <c r="C15" s="56" t="n">
        <v>4289</v>
      </c>
      <c r="D15" s="56" t="n">
        <v>8806</v>
      </c>
      <c r="E15" s="56" t="n">
        <v>1334</v>
      </c>
      <c r="G15" s="25" t="s">
        <v>18</v>
      </c>
      <c r="H15" s="56" t="n">
        <v>368795</v>
      </c>
      <c r="I15" s="56" t="n">
        <v>306980</v>
      </c>
      <c r="J15" s="56" t="n">
        <v>303748</v>
      </c>
      <c r="K15" s="56" t="n">
        <v>328995</v>
      </c>
      <c r="M15" s="25" t="s">
        <v>19</v>
      </c>
      <c r="N15" s="56" t="n">
        <v>20</v>
      </c>
      <c r="O15" s="56" t="n">
        <v>328</v>
      </c>
      <c r="P15" s="58" t="n">
        <v>-12871</v>
      </c>
      <c r="Q15" s="58" t="n">
        <v>-121039</v>
      </c>
    </row>
    <row r="16" customFormat="false" ht="15" hidden="false" customHeight="false" outlineLevel="0" collapsed="false">
      <c r="A16" s="25" t="s">
        <v>20</v>
      </c>
      <c r="B16" s="56" t="n">
        <v>2208554</v>
      </c>
      <c r="C16" s="56" t="n">
        <v>2115824</v>
      </c>
      <c r="D16" s="56" t="n">
        <v>2114992</v>
      </c>
      <c r="E16" s="56" t="n">
        <v>2034487</v>
      </c>
      <c r="G16" s="25" t="s">
        <v>21</v>
      </c>
      <c r="H16" s="56" t="n">
        <v>23949</v>
      </c>
      <c r="I16" s="56" t="n">
        <v>21525</v>
      </c>
      <c r="J16" s="56" t="n">
        <v>16296</v>
      </c>
      <c r="K16" s="56" t="n">
        <v>14281</v>
      </c>
      <c r="M16" s="25" t="s">
        <v>22</v>
      </c>
      <c r="N16" s="56" t="n">
        <v>23919</v>
      </c>
      <c r="O16" s="56" t="n">
        <v>20870</v>
      </c>
      <c r="P16" s="56" t="n">
        <v>41394</v>
      </c>
      <c r="Q16" s="56" t="n">
        <v>6839</v>
      </c>
    </row>
    <row r="17" customFormat="false" ht="15" hidden="false" customHeight="false" outlineLevel="0" collapsed="false">
      <c r="A17" s="25" t="s">
        <v>23</v>
      </c>
      <c r="B17" s="56" t="n">
        <v>163296</v>
      </c>
      <c r="C17" s="56" t="n">
        <v>123201</v>
      </c>
      <c r="D17" s="56" t="n">
        <v>107624</v>
      </c>
      <c r="E17" s="56" t="n">
        <v>55933</v>
      </c>
      <c r="G17" s="25" t="s">
        <v>11</v>
      </c>
      <c r="H17" s="56" t="n">
        <v>90523</v>
      </c>
      <c r="I17" s="56" t="n">
        <v>52513</v>
      </c>
      <c r="J17" s="56" t="n">
        <v>49528</v>
      </c>
      <c r="K17" s="56" t="n">
        <v>47704</v>
      </c>
      <c r="M17" s="25" t="s">
        <v>24</v>
      </c>
      <c r="N17" s="56" t="n">
        <v>19756</v>
      </c>
      <c r="O17" s="58" t="n">
        <v>-773</v>
      </c>
      <c r="P17" s="56" t="n">
        <v>9887</v>
      </c>
      <c r="Q17" s="56" t="n">
        <v>16027</v>
      </c>
    </row>
    <row r="18" customFormat="false" ht="15" hidden="false" customHeight="false" outlineLevel="0" collapsed="false">
      <c r="A18" s="25" t="s">
        <v>25</v>
      </c>
      <c r="B18" s="56" t="n">
        <v>6942</v>
      </c>
      <c r="C18" s="56" t="n">
        <v>5772</v>
      </c>
      <c r="D18" s="56" t="n">
        <v>4569</v>
      </c>
      <c r="E18" s="56" t="n">
        <v>3779</v>
      </c>
      <c r="G18" s="25" t="s">
        <v>26</v>
      </c>
      <c r="H18" s="56" t="n">
        <v>153</v>
      </c>
      <c r="I18" s="56" t="n">
        <v>104</v>
      </c>
      <c r="J18" s="57"/>
      <c r="K18" s="56" t="n">
        <v>14315</v>
      </c>
      <c r="M18" s="25" t="s">
        <v>27</v>
      </c>
      <c r="N18" s="58" t="n">
        <v>-150699</v>
      </c>
      <c r="O18" s="58" t="n">
        <v>-364943</v>
      </c>
      <c r="P18" s="58" t="n">
        <v>-484763</v>
      </c>
      <c r="Q18" s="58" t="n">
        <v>-62603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114625</v>
      </c>
      <c r="I19" s="56" t="n">
        <v>74142</v>
      </c>
      <c r="J19" s="56" t="n">
        <v>65824</v>
      </c>
      <c r="K19" s="56" t="n">
        <v>76300</v>
      </c>
      <c r="M19" s="25" t="s">
        <v>30</v>
      </c>
      <c r="N19" s="58" t="n">
        <v>-4001</v>
      </c>
      <c r="O19" s="56" t="n">
        <v>106</v>
      </c>
      <c r="P19" s="58" t="n">
        <v>-11321</v>
      </c>
      <c r="Q19" s="58" t="n">
        <v>-100</v>
      </c>
    </row>
    <row r="20" customFormat="false" ht="15" hidden="false" customHeight="false" outlineLevel="0" collapsed="false">
      <c r="A20" s="25" t="s">
        <v>31</v>
      </c>
      <c r="B20" s="56" t="n">
        <v>2038316</v>
      </c>
      <c r="C20" s="56" t="n">
        <v>1986851</v>
      </c>
      <c r="D20" s="56" t="n">
        <v>2002799</v>
      </c>
      <c r="E20" s="56" t="n">
        <v>1974775</v>
      </c>
      <c r="G20" s="25" t="s">
        <v>32</v>
      </c>
      <c r="H20" s="56" t="n">
        <v>254170</v>
      </c>
      <c r="I20" s="56" t="n">
        <v>232838</v>
      </c>
      <c r="J20" s="56" t="n">
        <v>237924</v>
      </c>
      <c r="K20" s="56" t="n">
        <v>252695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12305</v>
      </c>
      <c r="I21" s="56" t="n">
        <v>11086</v>
      </c>
      <c r="J21" s="56" t="n">
        <v>19500</v>
      </c>
      <c r="K21" s="56" t="n">
        <v>9793</v>
      </c>
      <c r="M21" s="25" t="s">
        <v>36</v>
      </c>
      <c r="N21" s="58" t="n">
        <v>-189200</v>
      </c>
      <c r="O21" s="58" t="n">
        <v>-236500</v>
      </c>
      <c r="P21" s="58" t="n">
        <v>-189200</v>
      </c>
      <c r="Q21" s="56" t="n">
        <v>736985</v>
      </c>
    </row>
    <row r="22" customFormat="false" ht="15" hidden="false" customHeight="false" outlineLevel="0" collapsed="false">
      <c r="A22" s="25" t="s">
        <v>37</v>
      </c>
      <c r="B22" s="56" t="n">
        <v>2208554</v>
      </c>
      <c r="C22" s="56" t="n">
        <v>2115824</v>
      </c>
      <c r="D22" s="56" t="n">
        <v>2114992</v>
      </c>
      <c r="E22" s="56" t="n">
        <v>2034487</v>
      </c>
      <c r="G22" s="25" t="s">
        <v>8</v>
      </c>
      <c r="H22" s="56" t="n">
        <v>241865</v>
      </c>
      <c r="I22" s="56" t="n">
        <v>221752</v>
      </c>
      <c r="J22" s="56" t="n">
        <v>218424</v>
      </c>
      <c r="K22" s="56" t="n">
        <v>242902</v>
      </c>
      <c r="M22" s="25" t="s">
        <v>38</v>
      </c>
      <c r="N22" s="56" t="n">
        <v>238229</v>
      </c>
      <c r="O22" s="56" t="n">
        <v>566920</v>
      </c>
      <c r="P22" s="56" t="n">
        <v>939127</v>
      </c>
      <c r="Q22" s="56" t="n">
        <v>63506</v>
      </c>
    </row>
    <row r="23" customFormat="false" ht="15" hidden="false" customHeight="false" outlineLevel="0" collapsed="false">
      <c r="B23" s="4" t="n">
        <f aca="false">B11+B12</f>
        <v>462160</v>
      </c>
      <c r="C23" s="4" t="n">
        <f aca="false">C11+C12</f>
        <v>429997</v>
      </c>
      <c r="D23" s="4" t="n">
        <f aca="false">D11+D12</f>
        <v>736972</v>
      </c>
      <c r="E23" s="4" t="n">
        <f aca="false">E11+E12</f>
        <v>1224266</v>
      </c>
      <c r="G23" s="25" t="s">
        <v>39</v>
      </c>
      <c r="H23" s="56" t="n">
        <v>26544</v>
      </c>
      <c r="I23" s="56" t="n">
        <v>64667</v>
      </c>
      <c r="J23" s="56" t="n">
        <v>58485</v>
      </c>
      <c r="K23" s="56" t="n">
        <v>70653</v>
      </c>
      <c r="M23" s="25" t="s">
        <v>40</v>
      </c>
      <c r="N23" s="56" t="n">
        <v>207685</v>
      </c>
      <c r="O23" s="56" t="n">
        <v>238229</v>
      </c>
      <c r="P23" s="56" t="n">
        <v>566920</v>
      </c>
      <c r="Q23" s="56" t="n">
        <v>939127</v>
      </c>
    </row>
    <row r="24" customFormat="false" ht="15" hidden="false" customHeight="false" outlineLevel="0" collapsed="false">
      <c r="G24" s="25" t="s">
        <v>41</v>
      </c>
      <c r="H24" s="56" t="n">
        <v>24186</v>
      </c>
      <c r="I24" s="56" t="n">
        <v>22175</v>
      </c>
      <c r="J24" s="56" t="n">
        <v>21842</v>
      </c>
      <c r="K24" s="56" t="n">
        <v>24290</v>
      </c>
      <c r="M24" s="2" t="s">
        <v>42</v>
      </c>
      <c r="N24" s="12" t="n">
        <f aca="false">SUM(N11:N17)</f>
        <v>313356</v>
      </c>
      <c r="O24" s="12" t="n">
        <f aca="false">SUM(O11:O17)</f>
        <v>272646</v>
      </c>
      <c r="P24" s="12" t="n">
        <f aca="false">SUM(P11:P17)</f>
        <v>313077</v>
      </c>
      <c r="Q24" s="12" t="n">
        <f aca="false">SUM(Q11:Q17)</f>
        <v>201339</v>
      </c>
    </row>
    <row r="25" customFormat="false" ht="15" hidden="false" customHeight="false" outlineLevel="0" collapsed="false">
      <c r="G25" s="25" t="s">
        <v>43</v>
      </c>
      <c r="H25" s="56" t="n">
        <v>189200</v>
      </c>
      <c r="I25" s="56" t="n">
        <v>236500</v>
      </c>
      <c r="J25" s="56" t="n">
        <v>189200</v>
      </c>
      <c r="K25" s="56" t="n">
        <v>194700</v>
      </c>
      <c r="M25" s="2" t="s">
        <v>44</v>
      </c>
      <c r="N25" s="12" t="n">
        <f aca="false">N18+N19</f>
        <v>-154700</v>
      </c>
      <c r="O25" s="12" t="n">
        <f aca="false">O18+O19</f>
        <v>-364837</v>
      </c>
      <c r="P25" s="12" t="n">
        <f aca="false">P18+P19</f>
        <v>-496084</v>
      </c>
      <c r="Q25" s="12" t="n">
        <f aca="false">Q18+Q19</f>
        <v>-62703</v>
      </c>
    </row>
    <row r="26" customFormat="false" ht="15" hidden="false" customHeight="false" outlineLevel="0" collapsed="false">
      <c r="B26" s="28" t="n">
        <f aca="false">H20/B22</f>
        <v>0.115084349307284</v>
      </c>
      <c r="G26" s="25" t="s">
        <v>45</v>
      </c>
      <c r="H26" s="56" t="n">
        <v>1200</v>
      </c>
      <c r="I26" s="56" t="n">
        <v>1200</v>
      </c>
      <c r="J26" s="56" t="n">
        <v>1200</v>
      </c>
      <c r="K26" s="56" t="n">
        <v>36080</v>
      </c>
      <c r="M26" s="2" t="s">
        <v>46</v>
      </c>
      <c r="N26" s="12" t="n">
        <f aca="false">N20+N21</f>
        <v>-189200</v>
      </c>
      <c r="O26" s="12" t="n">
        <f aca="false">O20+O21</f>
        <v>-236500</v>
      </c>
      <c r="P26" s="12" t="n">
        <f aca="false">P20+P21</f>
        <v>-189200</v>
      </c>
      <c r="Q26" s="12" t="n">
        <f aca="false">Q20+Q21</f>
        <v>736985</v>
      </c>
    </row>
    <row r="27" customFormat="false" ht="15" hidden="false" customHeight="false" outlineLevel="0" collapsed="false">
      <c r="G27" s="25" t="s">
        <v>47</v>
      </c>
      <c r="H27" s="56" t="n">
        <v>53823</v>
      </c>
      <c r="I27" s="56" t="n">
        <v>26544</v>
      </c>
      <c r="J27" s="56" t="n">
        <v>64667</v>
      </c>
      <c r="K27" s="56" t="n">
        <v>58485</v>
      </c>
      <c r="M27" s="2" t="s">
        <v>48</v>
      </c>
      <c r="N27" s="12" t="n">
        <f aca="false">N24+N25+N26</f>
        <v>-30544</v>
      </c>
      <c r="O27" s="12" t="n">
        <f aca="false">O24+O25+O26</f>
        <v>-328691</v>
      </c>
      <c r="P27" s="12" t="n">
        <f aca="false">P24+P25+P26</f>
        <v>-372207</v>
      </c>
      <c r="Q27" s="12" t="n">
        <f aca="false">Q24+Q25+Q26</f>
        <v>875621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0.128767057540816</v>
      </c>
      <c r="C30" s="24" t="n">
        <f aca="false">C11/C$16</f>
        <v>0.139514912393469</v>
      </c>
      <c r="D30" s="24" t="n">
        <f aca="false">D11/D$16</f>
        <v>0.292750043498982</v>
      </c>
      <c r="E30" s="24" t="n">
        <f aca="false">E11/E$16</f>
        <v>0.543089240678363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0.431499566475535</v>
      </c>
      <c r="O30" s="26" t="n">
        <f aca="false">O11/I$11</f>
        <v>0.487528828248496</v>
      </c>
      <c r="P30" s="26" t="n">
        <f aca="false">P11/J$11</f>
        <v>0.503947617355673</v>
      </c>
      <c r="Q30" s="26" t="n">
        <f aca="false">Q11/K$11</f>
        <v>0.56678380257699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0.0804920323433341</v>
      </c>
      <c r="C31" s="24" t="n">
        <f aca="false">C12/C$16</f>
        <v>0.0637141841665469</v>
      </c>
      <c r="D31" s="24" t="n">
        <f aca="false">D12/D$16</f>
        <v>0.0557013927239441</v>
      </c>
      <c r="E31" s="24" t="n">
        <f aca="false">E12/E$16</f>
        <v>0.0586673692188743</v>
      </c>
      <c r="F31" s="6"/>
      <c r="G31" s="25" t="s">
        <v>10</v>
      </c>
      <c r="H31" s="24" t="n">
        <f aca="false">H12/H$11</f>
        <v>0.342050802644678</v>
      </c>
      <c r="I31" s="24" t="n">
        <f aca="false">I12/I$11</f>
        <v>0.325094701758166</v>
      </c>
      <c r="J31" s="24" t="n">
        <f aca="false">J12/J$11</f>
        <v>0.299718983171291</v>
      </c>
      <c r="K31" s="24" t="n">
        <f aca="false">K12/K$11</f>
        <v>0.233973147409243</v>
      </c>
      <c r="L31" s="6"/>
      <c r="M31" s="25" t="s">
        <v>11</v>
      </c>
      <c r="N31" s="26" t="n">
        <f aca="false">N12/H$11</f>
        <v>0.161497675381163</v>
      </c>
      <c r="O31" s="26" t="n">
        <f aca="false">O12/I$11</f>
        <v>0.115451501487307</v>
      </c>
      <c r="P31" s="26" t="n">
        <f aca="false">P12/J$11</f>
        <v>0.124159602792634</v>
      </c>
      <c r="Q31" s="26" t="n">
        <f aca="false">Q12/K$11</f>
        <v>0.117495251562201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4.91524399025405E-005</v>
      </c>
      <c r="F32" s="6"/>
      <c r="G32" s="25" t="s">
        <v>13</v>
      </c>
      <c r="H32" s="24" t="n">
        <f aca="false">H13/H$11</f>
        <v>0.657949197355322</v>
      </c>
      <c r="I32" s="24" t="n">
        <f aca="false">I13/I$11</f>
        <v>0.674905298241834</v>
      </c>
      <c r="J32" s="24" t="n">
        <f aca="false">J13/J$11</f>
        <v>0.700281016828709</v>
      </c>
      <c r="K32" s="24" t="n">
        <f aca="false">K13/K$11</f>
        <v>0.766026852590757</v>
      </c>
      <c r="L32" s="6"/>
      <c r="M32" s="25" t="s">
        <v>14</v>
      </c>
      <c r="N32" s="26" t="n">
        <f aca="false">N13/H$11</f>
        <v>-0.0352599897952266</v>
      </c>
      <c r="O32" s="26" t="n">
        <f aca="false">O13/I$11</f>
        <v>-0.0110893945023513</v>
      </c>
      <c r="P32" s="26" t="n">
        <f aca="false">P13/J$11</f>
        <v>0.00202802785250539</v>
      </c>
      <c r="Q32" s="26" t="n">
        <f aca="false">Q13/K$11</f>
        <v>0.0604136624339069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0.788621876576258</v>
      </c>
      <c r="C33" s="24" t="n">
        <f aca="false">C14/C$16</f>
        <v>0.794743797215647</v>
      </c>
      <c r="D33" s="24" t="n">
        <f aca="false">D14/D$16</f>
        <v>0.647384954647583</v>
      </c>
      <c r="E33" s="24" t="n">
        <f aca="false">E14/E$16</f>
        <v>0.397538544114561</v>
      </c>
      <c r="F33" s="6"/>
      <c r="G33" s="25" t="s">
        <v>16</v>
      </c>
      <c r="H33" s="24" t="n">
        <f aca="false">H14/H$11</f>
        <v>0</v>
      </c>
      <c r="I33" s="24" t="n">
        <f aca="false">I14/I$11</f>
        <v>0</v>
      </c>
      <c r="J33" s="24" t="n">
        <f aca="false">J14/J$11</f>
        <v>0.000526041354233479</v>
      </c>
      <c r="K33" s="24" t="n">
        <f aca="false">K14/K$11</f>
        <v>0.0016450361907962</v>
      </c>
      <c r="L33" s="6"/>
      <c r="M33" s="25" t="s">
        <v>9</v>
      </c>
      <c r="N33" s="26" t="n">
        <f aca="false">N14/H$11</f>
        <v>-0.0766481957889253</v>
      </c>
      <c r="O33" s="26" t="n">
        <f aca="false">O14/I$11</f>
        <v>-0.0373750409476552</v>
      </c>
      <c r="P33" s="26" t="n">
        <f aca="false">P14/J$11</f>
        <v>0.00357615832921883</v>
      </c>
      <c r="Q33" s="26" t="n">
        <f aca="false">Q14/K$11</f>
        <v>-0.0458160079521749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0.00211903353959197</v>
      </c>
      <c r="C34" s="24" t="n">
        <f aca="false">C15/C$16</f>
        <v>0.00202710622433624</v>
      </c>
      <c r="D34" s="24" t="n">
        <f aca="false">D15/D$16</f>
        <v>0.0041636091294908</v>
      </c>
      <c r="E34" s="24" t="n">
        <f aca="false">E15/E$16</f>
        <v>0.000655693548299891</v>
      </c>
      <c r="F34" s="6"/>
      <c r="G34" s="25" t="s">
        <v>18</v>
      </c>
      <c r="H34" s="24" t="n">
        <f aca="false">H15/H$11</f>
        <v>0.657949197355322</v>
      </c>
      <c r="I34" s="24" t="n">
        <f aca="false">I15/I$11</f>
        <v>0.674905298241834</v>
      </c>
      <c r="J34" s="24" t="n">
        <f aca="false">J15/J$11</f>
        <v>0.700807058182942</v>
      </c>
      <c r="K34" s="24" t="n">
        <f aca="false">K15/K$11</f>
        <v>0.767671888781553</v>
      </c>
      <c r="L34" s="6"/>
      <c r="M34" s="25" t="s">
        <v>19</v>
      </c>
      <c r="N34" s="26" t="n">
        <f aca="false">N15/H$11</f>
        <v>3.56810259008567E-005</v>
      </c>
      <c r="O34" s="26" t="n">
        <f aca="false">O15/I$11</f>
        <v>0.0007211184371077</v>
      </c>
      <c r="P34" s="26" t="n">
        <f aca="false">P15/J$11</f>
        <v>-0.0296959573260487</v>
      </c>
      <c r="Q34" s="26" t="n">
        <f aca="false">Q15/K$11</f>
        <v>-0.282430546805363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0.0427262444649809</v>
      </c>
      <c r="I35" s="24" t="n">
        <f aca="false">I16/I$11</f>
        <v>0.0473233974351928</v>
      </c>
      <c r="J35" s="24" t="n">
        <f aca="false">J16/J$11</f>
        <v>0.0375981136341613</v>
      </c>
      <c r="K35" s="24" t="n">
        <f aca="false">K16/K$11</f>
        <v>0.033323066440795</v>
      </c>
      <c r="L35" s="6"/>
      <c r="M35" s="25" t="s">
        <v>22</v>
      </c>
      <c r="N35" s="26" t="n">
        <f aca="false">N16/H$11</f>
        <v>0.0426727229261296</v>
      </c>
      <c r="O35" s="26" t="n">
        <f aca="false">O16/I$11</f>
        <v>0.0458833590927978</v>
      </c>
      <c r="P35" s="26" t="n">
        <f aca="false">P16/J$11</f>
        <v>0.0955041921804414</v>
      </c>
      <c r="Q35" s="26" t="n">
        <f aca="false">Q16/K$11</f>
        <v>0.015958017743057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0.0739379702737628</v>
      </c>
      <c r="C36" s="24" t="n">
        <f aca="false">C17/C$16</f>
        <v>0.0582283781637792</v>
      </c>
      <c r="D36" s="24" t="n">
        <f aca="false">D17/D$16</f>
        <v>0.0508862444869768</v>
      </c>
      <c r="E36" s="24" t="n">
        <f aca="false">E17/E$16</f>
        <v>0.027492434210688</v>
      </c>
      <c r="F36" s="6"/>
      <c r="G36" s="25" t="s">
        <v>11</v>
      </c>
      <c r="H36" s="24" t="n">
        <f aca="false">H17/H$11</f>
        <v>0.161497675381163</v>
      </c>
      <c r="I36" s="24" t="n">
        <f aca="false">I17/I$11</f>
        <v>0.115451501487307</v>
      </c>
      <c r="J36" s="24" t="n">
        <f aca="false">J17/J$11</f>
        <v>0.114270948212613</v>
      </c>
      <c r="K36" s="24" t="n">
        <f aca="false">K17/K$11</f>
        <v>0.111311782192542</v>
      </c>
      <c r="L36" s="6"/>
      <c r="M36" s="25" t="s">
        <v>24</v>
      </c>
      <c r="N36" s="26" t="n">
        <f aca="false">N17/H$11</f>
        <v>0.0352457173848662</v>
      </c>
      <c r="O36" s="26" t="n">
        <f aca="false">O17/I$11</f>
        <v>-0.00169946509720808</v>
      </c>
      <c r="P36" s="26" t="n">
        <f aca="false">P17/J$11</f>
        <v>0.022811275742572</v>
      </c>
      <c r="Q36" s="26" t="n">
        <f aca="false">Q17/K$11</f>
        <v>0.0373971560707669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0.00314323308372809</v>
      </c>
      <c r="C37" s="24" t="n">
        <f aca="false">C18/C$16</f>
        <v>0.00272801518462783</v>
      </c>
      <c r="D37" s="24" t="n">
        <f aca="false">D18/D$16</f>
        <v>0.00216029185925999</v>
      </c>
      <c r="E37" s="24" t="n">
        <f aca="false">E18/E$16</f>
        <v>0.00185747070391701</v>
      </c>
      <c r="F37" s="6"/>
      <c r="G37" s="25" t="s">
        <v>26</v>
      </c>
      <c r="H37" s="24" t="n">
        <f aca="false">H18/H$11</f>
        <v>0.000272959848141554</v>
      </c>
      <c r="I37" s="24" t="n">
        <f aca="false">I18/I$11</f>
        <v>0.000228647309326832</v>
      </c>
      <c r="J37" s="24" t="n">
        <f aca="false">J18/J$11</f>
        <v>0</v>
      </c>
      <c r="K37" s="24" t="n">
        <f aca="false">K18/K$11</f>
        <v>0.0334024015195001</v>
      </c>
      <c r="L37" s="6"/>
      <c r="M37" s="25" t="s">
        <v>27</v>
      </c>
      <c r="N37" s="26" t="n">
        <f aca="false">N18/H$11</f>
        <v>-0.26885474611166</v>
      </c>
      <c r="O37" s="26" t="n">
        <f aca="false">O18/I$11</f>
        <v>-0.802338798150595</v>
      </c>
      <c r="P37" s="26" t="n">
        <f aca="false">P18/J$11</f>
        <v>-1.11844467106265</v>
      </c>
      <c r="Q37" s="26" t="n">
        <f aca="false">Q18/K$11</f>
        <v>-0.146076880358035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0.204496879694285</v>
      </c>
      <c r="I38" s="24" t="n">
        <f aca="false">I19/I$11</f>
        <v>0.163003546231826</v>
      </c>
      <c r="J38" s="24" t="n">
        <f aca="false">J19/J$11</f>
        <v>0.151869061846774</v>
      </c>
      <c r="K38" s="24" t="n">
        <f aca="false">K19/K$11</f>
        <v>0.178037250152837</v>
      </c>
      <c r="L38" s="6"/>
      <c r="M38" s="25" t="s">
        <v>30</v>
      </c>
      <c r="N38" s="26" t="n">
        <f aca="false">N19/H$11</f>
        <v>-0.00713798923146638</v>
      </c>
      <c r="O38" s="26" t="n">
        <f aca="false">O19/I$11</f>
        <v>0.000233044372967732</v>
      </c>
      <c r="P38" s="26" t="n">
        <f aca="false">P19/J$11</f>
        <v>-0.0261197989968299</v>
      </c>
      <c r="Q38" s="26" t="n">
        <f aca="false">Q19/K$11</f>
        <v>-0.000233338466779602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0.922918796642509</v>
      </c>
      <c r="C39" s="24" t="n">
        <f aca="false">C20/C$16</f>
        <v>0.939043606651593</v>
      </c>
      <c r="D39" s="24" t="n">
        <f aca="false">D20/D$16</f>
        <v>0.946953463653763</v>
      </c>
      <c r="E39" s="24" t="n">
        <f aca="false">E20/E$16</f>
        <v>0.970650095085395</v>
      </c>
      <c r="F39" s="6"/>
      <c r="G39" s="25" t="s">
        <v>32</v>
      </c>
      <c r="H39" s="24" t="n">
        <f aca="false">H20/H$11</f>
        <v>0.453452317661037</v>
      </c>
      <c r="I39" s="24" t="n">
        <f aca="false">I20/I$11</f>
        <v>0.511901752010008</v>
      </c>
      <c r="J39" s="24" t="n">
        <f aca="false">J20/J$11</f>
        <v>0.548937996336168</v>
      </c>
      <c r="K39" s="24" t="n">
        <f aca="false">K20/K$11</f>
        <v>0.589634638628716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0.0219527511855021</v>
      </c>
      <c r="I40" s="24" t="n">
        <f aca="false">I21/I$11</f>
        <v>0.0243729237615121</v>
      </c>
      <c r="J40" s="24" t="n">
        <f aca="false">J21/J$11</f>
        <v>0.0449903789804949</v>
      </c>
      <c r="K40" s="24" t="n">
        <f aca="false">K21/K$11</f>
        <v>0.0228508360517265</v>
      </c>
      <c r="L40" s="6"/>
      <c r="M40" s="25" t="s">
        <v>36</v>
      </c>
      <c r="N40" s="26" t="n">
        <f aca="false">N21/H$11</f>
        <v>-0.337542505022104</v>
      </c>
      <c r="O40" s="26" t="n">
        <f aca="false">O21/I$11</f>
        <v>-0.519952775536497</v>
      </c>
      <c r="P40" s="26" t="n">
        <f aca="false">P21/J$11</f>
        <v>-0.436522036056905</v>
      </c>
      <c r="Q40" s="26" t="n">
        <f aca="false">Q21/K$11</f>
        <v>1.71966949939565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0.431499566475535</v>
      </c>
      <c r="I41" s="24" t="n">
        <f aca="false">I22/I$11</f>
        <v>0.487528828248496</v>
      </c>
      <c r="J41" s="24" t="n">
        <f aca="false">J22/J$11</f>
        <v>0.503947617355673</v>
      </c>
      <c r="K41" s="24" t="n">
        <f aca="false">K22/K$11</f>
        <v>0.56678380257699</v>
      </c>
      <c r="L41" s="6"/>
      <c r="M41" s="25" t="s">
        <v>38</v>
      </c>
      <c r="N41" s="26" t="n">
        <f aca="false">N22/H$11</f>
        <v>0.42501275596676</v>
      </c>
      <c r="O41" s="26" t="n">
        <f aca="false">O22/I$11</f>
        <v>1.24639165964969</v>
      </c>
      <c r="P41" s="26" t="n">
        <f aca="false">P22/J$11</f>
        <v>2.16675280209309</v>
      </c>
      <c r="Q41" s="26" t="n">
        <f aca="false">Q22/K$11</f>
        <v>0.148183926713054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0.047355857575617</v>
      </c>
      <c r="I42" s="24" t="n">
        <f aca="false">I23/I$11</f>
        <v>0.14217245723306</v>
      </c>
      <c r="J42" s="24" t="n">
        <f aca="false">J23/J$11</f>
        <v>0.134936528957654</v>
      </c>
      <c r="K42" s="24" t="n">
        <f aca="false">K23/K$11</f>
        <v>0.164860626933793</v>
      </c>
      <c r="L42" s="6"/>
      <c r="M42" s="25" t="s">
        <v>40</v>
      </c>
      <c r="N42" s="26" t="n">
        <f aca="false">N23/H$11</f>
        <v>0.370520693210971</v>
      </c>
      <c r="O42" s="26" t="n">
        <f aca="false">O23/I$11</f>
        <v>0.523754037054055</v>
      </c>
      <c r="P42" s="26" t="n">
        <f aca="false">P23/J$11</f>
        <v>1.3079972129037</v>
      </c>
      <c r="Q42" s="26" t="n">
        <f aca="false">Q23/K$11</f>
        <v>2.19134454291328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0.043149064621906</v>
      </c>
      <c r="I43" s="24" t="n">
        <f aca="false">I24/I$11</f>
        <v>0.0487524431184855</v>
      </c>
      <c r="J43" s="24" t="n">
        <f aca="false">J24/J$11</f>
        <v>0.0503938388559985</v>
      </c>
      <c r="K43" s="24" t="n">
        <f aca="false">K24/K$11</f>
        <v>0.0566779135807654</v>
      </c>
      <c r="L43" s="6"/>
      <c r="M43" s="2" t="s">
        <v>49</v>
      </c>
      <c r="N43" s="26" t="n">
        <f aca="false">N24/H11</f>
        <v>0.559043177609443</v>
      </c>
      <c r="O43" s="26" t="n">
        <f aca="false">O24/I11</f>
        <v>0.599420906718493</v>
      </c>
      <c r="P43" s="26" t="n">
        <f aca="false">P24/J11</f>
        <v>0.722330916926996</v>
      </c>
      <c r="Q43" s="26" t="n">
        <f aca="false">Q24/K11</f>
        <v>0.469801335629384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0.337542505022104</v>
      </c>
      <c r="I44" s="24" t="n">
        <f aca="false">I25/I$11</f>
        <v>0.519952775536497</v>
      </c>
      <c r="J44" s="24" t="n">
        <f aca="false">J25/J$11</f>
        <v>0.436522036056905</v>
      </c>
      <c r="K44" s="24" t="n">
        <f aca="false">K25/K$11</f>
        <v>0.454309994819886</v>
      </c>
      <c r="L44" s="6"/>
      <c r="M44" s="2" t="s">
        <v>50</v>
      </c>
      <c r="N44" s="26" t="n">
        <f aca="false">N24/B16</f>
        <v>0.141882879024013</v>
      </c>
      <c r="O44" s="26" t="n">
        <f aca="false">O24/C16</f>
        <v>0.128860434516292</v>
      </c>
      <c r="P44" s="26" t="n">
        <f aca="false">P24/D16</f>
        <v>0.148027510269542</v>
      </c>
      <c r="Q44" s="26" t="n">
        <f aca="false">Q24/E16</f>
        <v>0.0989630309753761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0.0021408615540514</v>
      </c>
      <c r="I45" s="24" t="n">
        <f aca="false">I26/I$11</f>
        <v>0.00263823818454036</v>
      </c>
      <c r="J45" s="24" t="n">
        <f aca="false">J26/J$11</f>
        <v>0.002768638706492</v>
      </c>
      <c r="K45" s="24" t="n">
        <f aca="false">K26/K$11</f>
        <v>0.0841885188140806</v>
      </c>
      <c r="L45" s="6"/>
      <c r="M45" s="2" t="s">
        <v>51</v>
      </c>
      <c r="N45" s="26" t="n">
        <f aca="false">N24/B20</f>
        <v>0.153732787261641</v>
      </c>
      <c r="O45" s="26" t="n">
        <f aca="false">O24/C20</f>
        <v>0.137225186991878</v>
      </c>
      <c r="P45" s="26" t="n">
        <f aca="false">P24/D20</f>
        <v>0.156319730537113</v>
      </c>
      <c r="Q45" s="26" t="n">
        <f aca="false">Q24/E20</f>
        <v>0.101955412641947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0.0960229928530905</v>
      </c>
      <c r="I46" s="24" t="n">
        <f aca="false">I27/I$11</f>
        <v>0.0583578286420329</v>
      </c>
      <c r="J46" s="24" t="n">
        <f aca="false">J27/J$11</f>
        <v>0.149199632693932</v>
      </c>
      <c r="K46" s="24" t="n">
        <f aca="false">K27/K$11</f>
        <v>0.136468002296051</v>
      </c>
      <c r="L46" s="6"/>
      <c r="M46" s="2" t="s">
        <v>52</v>
      </c>
      <c r="N46" s="26" t="n">
        <f aca="false">N24/H22</f>
        <v>1.29558224629442</v>
      </c>
      <c r="O46" s="26" t="n">
        <f aca="false">O24/I22</f>
        <v>1.22950864028284</v>
      </c>
      <c r="P46" s="26" t="n">
        <f aca="false">P24/J22</f>
        <v>1.43334523678717</v>
      </c>
      <c r="Q46" s="26" t="n">
        <f aca="false">Q24/K22</f>
        <v>0.828889840347136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1.84069361717125</v>
      </c>
      <c r="O47" s="26" t="n">
        <f aca="false">O24/(C22-C20)</f>
        <v>2.11397734409528</v>
      </c>
      <c r="P47" s="26" t="n">
        <f aca="false">P24/(D22-D20)</f>
        <v>2.79052169030153</v>
      </c>
      <c r="Q47" s="26" t="n">
        <f aca="false">Q24/(E22-E20)</f>
        <v>3.37183480707395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1.6562156448203</v>
      </c>
      <c r="O48" s="26" t="n">
        <f aca="false">O24/I25</f>
        <v>1.15283720930233</v>
      </c>
      <c r="P48" s="26" t="n">
        <f aca="false">P24/J25</f>
        <v>1.65474101479915</v>
      </c>
      <c r="Q48" s="26" t="n">
        <f aca="false">Q24/K25</f>
        <v>1.03409861325116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2.07935022793781</v>
      </c>
      <c r="O49" s="26" t="n">
        <f aca="false">O24/(O18*-1)</f>
        <v>0.747092011629213</v>
      </c>
      <c r="P49" s="26" t="n">
        <f aca="false">P24/(P18*-1)</f>
        <v>0.645835181315406</v>
      </c>
      <c r="Q49" s="26" t="n">
        <f aca="false">Q24/(Q18*-1)</f>
        <v>3.21612382793157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0.183458335221542</v>
      </c>
      <c r="I50" s="28" t="n">
        <f aca="false">LN(I13/J13)</f>
        <v>0.0113350926985579</v>
      </c>
      <c r="J50" s="28" t="n">
        <f aca="false">LN(J13/K13)</f>
        <v>-0.0784498579117573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2.83019792279051</v>
      </c>
      <c r="C51" s="30" t="n">
        <f aca="false">C23/C17</f>
        <v>3.49020706000763</v>
      </c>
      <c r="D51" s="30" t="n">
        <f aca="false">D23/D17</f>
        <v>6.84765479818628</v>
      </c>
      <c r="E51" s="30" t="n">
        <f aca="false">E23/E17</f>
        <v>21.8880803818855</v>
      </c>
      <c r="G51" s="29" t="s">
        <v>58</v>
      </c>
      <c r="H51" s="31" t="n">
        <f aca="false">H13/H11</f>
        <v>0.657949197355322</v>
      </c>
      <c r="I51" s="31" t="n">
        <f aca="false">I13/I11</f>
        <v>0.674905298241834</v>
      </c>
      <c r="J51" s="31" t="n">
        <f aca="false">J13/J11</f>
        <v>0.700281016828709</v>
      </c>
      <c r="K51" s="31" t="n">
        <f aca="false">K13/K11</f>
        <v>0.766026852590757</v>
      </c>
      <c r="M51" s="2" t="s">
        <v>59</v>
      </c>
      <c r="N51" s="32" t="n">
        <f aca="false">(N11-N24-N25)/B16</f>
        <v>0.0376757824350231</v>
      </c>
      <c r="O51" s="32" t="n">
        <f aca="false">(O11-O24-O25)/C16</f>
        <v>0.148378598597993</v>
      </c>
      <c r="P51" s="32" t="n">
        <f aca="false">(P11-P24-P25)/D16</f>
        <v>0.189802609182446</v>
      </c>
      <c r="Q51" s="32" t="n">
        <f aca="false">(Q11-Q24-Q25)/E16</f>
        <v>0.0512492829887829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0.115084349307284</v>
      </c>
      <c r="C52" s="31" t="n">
        <f aca="false">I20/C16</f>
        <v>0.110046015169504</v>
      </c>
      <c r="D52" s="31" t="n">
        <f aca="false">J20/D16</f>
        <v>0.112494042530657</v>
      </c>
      <c r="E52" s="31" t="n">
        <f aca="false">K20/E16</f>
        <v>0.124205758011725</v>
      </c>
      <c r="F52" s="31"/>
      <c r="G52" s="29" t="s">
        <v>61</v>
      </c>
      <c r="H52" s="31" t="n">
        <f aca="false">H16/H11</f>
        <v>0.0427262444649809</v>
      </c>
      <c r="I52" s="31" t="n">
        <f aca="false">I16/I11</f>
        <v>0.0473233974351928</v>
      </c>
      <c r="J52" s="31" t="n">
        <f aca="false">J16/J11</f>
        <v>0.0375981136341613</v>
      </c>
      <c r="K52" s="31" t="n">
        <f aca="false">K16/K11</f>
        <v>0.033323066440795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0.124696072640356</v>
      </c>
      <c r="C53" s="31" t="n">
        <f aca="false">I20/C20</f>
        <v>0.117189462118699</v>
      </c>
      <c r="D53" s="31" t="n">
        <f aca="false">J20/D20</f>
        <v>0.118795745354377</v>
      </c>
      <c r="E53" s="31" t="n">
        <f aca="false">K20/E20</f>
        <v>0.127961413325569</v>
      </c>
      <c r="G53" s="29" t="s">
        <v>11</v>
      </c>
      <c r="H53" s="31" t="n">
        <f aca="false">H17/H11</f>
        <v>0.161497675381163</v>
      </c>
      <c r="I53" s="31" t="n">
        <f aca="false">I17/I11</f>
        <v>0.115451501487307</v>
      </c>
      <c r="J53" s="31" t="n">
        <f aca="false">J17/J11</f>
        <v>0.114270948212613</v>
      </c>
      <c r="K53" s="31" t="n">
        <f aca="false">K17/K11</f>
        <v>0.111311782192542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3.15305646027755</v>
      </c>
      <c r="C54" s="30" t="n">
        <f aca="false">I11/C12</f>
        <v>3.37405050145392</v>
      </c>
      <c r="D54" s="30" t="n">
        <f aca="false">J11/D12</f>
        <v>3.6790880076056</v>
      </c>
      <c r="E54" s="30" t="n">
        <f aca="false">K11/E12</f>
        <v>3.5905594932891</v>
      </c>
      <c r="G54" s="29" t="s">
        <v>64</v>
      </c>
      <c r="H54" s="31" t="n">
        <f aca="false">H25/H22</f>
        <v>0.782254563496165</v>
      </c>
      <c r="I54" s="31" t="n">
        <f aca="false">I25/I22</f>
        <v>1.06650672823695</v>
      </c>
      <c r="J54" s="31" t="n">
        <f aca="false">J25/J22</f>
        <v>0.866205178918068</v>
      </c>
      <c r="K54" s="31" t="n">
        <f aca="false">K25/K22</f>
        <v>0.801557829906711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0.0770812033574909</v>
      </c>
      <c r="C55" s="31" t="n">
        <f aca="false">(C22-C20)/C16</f>
        <v>0.0609563933484071</v>
      </c>
      <c r="D55" s="31" t="n">
        <f aca="false">(D22-D20)/D16</f>
        <v>0.0530465363462368</v>
      </c>
      <c r="E55" s="31" t="n">
        <f aca="false">(E22-E20)/E16</f>
        <v>0.029349904914605</v>
      </c>
      <c r="G55" s="29" t="s">
        <v>66</v>
      </c>
      <c r="H55" s="31" t="n">
        <f aca="false">H22/H11</f>
        <v>0.431499566475535</v>
      </c>
      <c r="I55" s="31" t="n">
        <f aca="false">I22/I11</f>
        <v>0.487528828248496</v>
      </c>
      <c r="J55" s="31" t="n">
        <f aca="false">J22/J11</f>
        <v>0.503947617355673</v>
      </c>
      <c r="K55" s="31" t="n">
        <f aca="false">K22/K11</f>
        <v>0.56678380257699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0.0835189440695162</v>
      </c>
      <c r="C56" s="31" t="n">
        <f aca="false">(C22-C20)/C20</f>
        <v>0.0649132723087942</v>
      </c>
      <c r="D56" s="31" t="n">
        <f aca="false">(D22-D20)/D20</f>
        <v>0.0560181026653199</v>
      </c>
      <c r="E56" s="31" t="n">
        <f aca="false">(E22-E20)/E20</f>
        <v>0.0302373688141687</v>
      </c>
      <c r="G56" s="33" t="s">
        <v>68</v>
      </c>
      <c r="H56" s="34" t="n">
        <f aca="false">H13/B16</f>
        <v>0.166984823554235</v>
      </c>
      <c r="I56" s="34" t="n">
        <f aca="false">I13/C16</f>
        <v>0.145087682151256</v>
      </c>
      <c r="J56" s="34" t="n">
        <f aca="false">J13/D16</f>
        <v>0.143508817054627</v>
      </c>
      <c r="K56" s="34" t="n">
        <f aca="false">K13/E16</f>
        <v>0.16136254495605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0.253795922581019</v>
      </c>
      <c r="C57" s="30" t="n">
        <f aca="false">I11/C16</f>
        <v>0.214974875036865</v>
      </c>
      <c r="D57" s="30" t="n">
        <f aca="false">J11/D16</f>
        <v>0.204930325977592</v>
      </c>
      <c r="E57" s="30" t="n">
        <f aca="false">K11/E16</f>
        <v>0.210648679495126</v>
      </c>
      <c r="G57" s="33" t="s">
        <v>70</v>
      </c>
      <c r="H57" s="35" t="n">
        <f aca="false">H25/$B$5</f>
        <v>76.9230769230769</v>
      </c>
      <c r="I57" s="35" t="n">
        <f aca="false">I25/$B$5</f>
        <v>96.1538461538462</v>
      </c>
      <c r="J57" s="35" t="n">
        <f aca="false">J25/$B$5</f>
        <v>76.9230769230769</v>
      </c>
      <c r="K57" s="35" t="n">
        <f aca="false">K25/$B$5</f>
        <v>79.1592128801431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1.08351894406952</v>
      </c>
      <c r="C58" s="30" t="n">
        <f aca="false">C16/C20</f>
        <v>1.06491327230879</v>
      </c>
      <c r="D58" s="30" t="n">
        <f aca="false">D16/D20</f>
        <v>1.05601810266532</v>
      </c>
      <c r="E58" s="30" t="n">
        <f aca="false">E16/E20</f>
        <v>1.03023736881417</v>
      </c>
      <c r="G58" s="36" t="s">
        <v>72</v>
      </c>
      <c r="H58" s="37" t="n">
        <f aca="false">H22/$B$7/1000</f>
        <v>1.27835623678647</v>
      </c>
      <c r="I58" s="37" t="n">
        <f aca="false">I22/$B$7/1000</f>
        <v>1.17205073995772</v>
      </c>
      <c r="J58" s="37" t="n">
        <f aca="false">J22/$B$7/1000</f>
        <v>1.15446088794926</v>
      </c>
      <c r="K58" s="37" t="n">
        <f aca="false">K22/$B$7/1000</f>
        <v>1.28383720930233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10.7733403805497</v>
      </c>
      <c r="I59" s="37" t="n">
        <f aca="false">C20/$B$7/1000</f>
        <v>10.5013266384778</v>
      </c>
      <c r="J59" s="37" t="n">
        <f aca="false">D20/$B$7/1000</f>
        <v>10.5856183932347</v>
      </c>
      <c r="K59" s="37" t="n">
        <f aca="false">E20/$B$7/1000</f>
        <v>10.4375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17.603231365185</v>
      </c>
      <c r="I60" s="38" t="n">
        <f aca="false">SQRT(22.5*I58*I59)</f>
        <v>16.6412731570101</v>
      </c>
      <c r="J60" s="38" t="n">
        <f aca="false">SQRT(22.5*J58*J59)</f>
        <v>16.5820793092808</v>
      </c>
      <c r="K60" s="38" t="n">
        <f aca="false">SQRT(22.5*K58*K59)</f>
        <v>17.3637883142502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0.416489006342495</v>
      </c>
      <c r="I61" s="39" t="n">
        <f aca="false">I58-(C20*0.08/1000/$B$7)</f>
        <v>0.331944608879493</v>
      </c>
      <c r="J61" s="39" t="n">
        <f aca="false">J58-(D20*0.08/1000/$B$7)</f>
        <v>0.307611416490486</v>
      </c>
      <c r="K61" s="39" t="n">
        <f aca="false">K58-(E20*0.08/1000/$B$7)</f>
        <v>0.448837209302326</v>
      </c>
      <c r="M61" s="6"/>
    </row>
    <row r="62" customFormat="false" ht="15" hidden="false" customHeight="false" outlineLevel="0" collapsed="false">
      <c r="G62" s="40" t="s">
        <v>76</v>
      </c>
      <c r="H62" s="60" t="n">
        <f aca="false">H25/$B$7/1000</f>
        <v>1</v>
      </c>
      <c r="I62" s="60" t="n">
        <f aca="false">I25/$B$7/1000</f>
        <v>1.25</v>
      </c>
      <c r="J62" s="60" t="n">
        <f aca="false">J25/$B$7/1000</f>
        <v>1</v>
      </c>
      <c r="K62" s="60" t="n">
        <f aca="false">K25/$B$7/1000</f>
        <v>1.02906976744186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0.828718490811514</v>
      </c>
      <c r="I74" s="6" t="n">
        <f aca="false">I59*$B$7/$B$5</f>
        <v>0.807794356805985</v>
      </c>
      <c r="J74" s="6" t="n">
        <f aca="false">J59*$B$7/$B$5</f>
        <v>0.814278337941129</v>
      </c>
      <c r="K74" s="6" t="n">
        <f aca="false">K59*$B$7/$B$5</f>
        <v>0.802884615384615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0.142371683374254</v>
      </c>
      <c r="I77" s="28" t="n">
        <f aca="false">(I15-I16)/$B$6</f>
        <v>0.117851762460918</v>
      </c>
      <c r="J77" s="28" t="n">
        <f aca="false">(J15-J16)/$B$6</f>
        <v>0.11867623556398</v>
      </c>
      <c r="K77" s="28" t="n">
        <f aca="false">(K15-K16)/$B$6</f>
        <v>0.129931511345485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 t="s">
        <v>92</v>
      </c>
      <c r="G1" s="6"/>
      <c r="M1" s="6"/>
    </row>
    <row r="2" customFormat="false" ht="15" hidden="false" customHeight="false" outlineLevel="0" collapsed="false">
      <c r="A2" s="2" t="s">
        <v>93</v>
      </c>
      <c r="G2" s="6"/>
      <c r="M2" s="6"/>
    </row>
    <row r="3" customFormat="false" ht="15" hidden="false" customHeight="false" outlineLevel="0" collapsed="false">
      <c r="A3" s="2" t="s">
        <v>94</v>
      </c>
      <c r="G3" s="6"/>
      <c r="M3" s="6"/>
    </row>
    <row r="4" customFormat="false" ht="15" hidden="false" customHeight="false" outlineLevel="0" collapsed="false">
      <c r="A4" s="2" t="s">
        <v>95</v>
      </c>
      <c r="G4" s="6"/>
      <c r="M4" s="6"/>
    </row>
    <row r="5" customFormat="false" ht="15" hidden="false" customHeight="false" outlineLevel="0" collapsed="false">
      <c r="A5" s="2" t="s">
        <v>0</v>
      </c>
      <c r="B5" s="55" t="n">
        <v>5515.65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5692303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157.5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0" t="s">
        <v>3</v>
      </c>
      <c r="B10" s="9" t="n">
        <v>42369</v>
      </c>
      <c r="C10" s="9" t="n">
        <v>42004</v>
      </c>
      <c r="D10" s="9" t="n">
        <v>41639</v>
      </c>
      <c r="E10" s="9" t="n">
        <v>41274</v>
      </c>
      <c r="G10" s="20" t="s">
        <v>4</v>
      </c>
      <c r="H10" s="9" t="n">
        <v>42369</v>
      </c>
      <c r="I10" s="9" t="n">
        <v>42004</v>
      </c>
      <c r="J10" s="9" t="n">
        <v>41639</v>
      </c>
      <c r="K10" s="9" t="n">
        <v>41274</v>
      </c>
      <c r="M10" s="20" t="s">
        <v>96</v>
      </c>
      <c r="N10" s="9" t="n">
        <v>42369</v>
      </c>
      <c r="O10" s="9" t="n">
        <v>42004</v>
      </c>
      <c r="P10" s="9" t="n">
        <v>41639</v>
      </c>
      <c r="Q10" s="9" t="n">
        <v>41274</v>
      </c>
    </row>
    <row r="11" customFormat="false" ht="15" hidden="false" customHeight="false" outlineLevel="0" collapsed="false">
      <c r="A11" s="23" t="s">
        <v>6</v>
      </c>
      <c r="B11" s="12" t="n">
        <v>531585</v>
      </c>
      <c r="C11" s="12" t="n">
        <v>505833</v>
      </c>
      <c r="D11" s="12" t="n">
        <v>550830</v>
      </c>
      <c r="E11" s="12" t="n">
        <v>976089</v>
      </c>
      <c r="G11" s="23" t="s">
        <v>7</v>
      </c>
      <c r="H11" s="12" t="n">
        <v>1612978</v>
      </c>
      <c r="I11" s="12" t="n">
        <v>1559390</v>
      </c>
      <c r="J11" s="12" t="n">
        <v>1620261</v>
      </c>
      <c r="K11" s="12" t="n">
        <v>1496499</v>
      </c>
      <c r="M11" s="23" t="s">
        <v>8</v>
      </c>
      <c r="N11" s="12" t="n">
        <v>806084</v>
      </c>
      <c r="O11" s="12" t="n">
        <v>801933</v>
      </c>
      <c r="P11" s="12" t="n">
        <v>821296</v>
      </c>
      <c r="Q11" s="12" t="n">
        <v>750156</v>
      </c>
    </row>
    <row r="12" customFormat="false" ht="15" hidden="false" customHeight="false" outlineLevel="0" collapsed="false">
      <c r="A12" s="23" t="s">
        <v>9</v>
      </c>
      <c r="B12" s="12" t="n">
        <v>528852</v>
      </c>
      <c r="C12" s="12" t="n">
        <v>551293</v>
      </c>
      <c r="D12" s="12" t="n">
        <v>481334</v>
      </c>
      <c r="E12" s="12" t="n">
        <v>323788</v>
      </c>
      <c r="G12" s="23" t="s">
        <v>10</v>
      </c>
      <c r="H12" s="12" t="n">
        <v>741515</v>
      </c>
      <c r="I12" s="12" t="n">
        <v>706174</v>
      </c>
      <c r="J12" s="12" t="n">
        <v>735153</v>
      </c>
      <c r="K12" s="12" t="n">
        <v>704453</v>
      </c>
      <c r="M12" s="23" t="s">
        <v>11</v>
      </c>
      <c r="N12" s="12" t="n">
        <v>209031</v>
      </c>
      <c r="O12" s="12" t="n">
        <v>209615</v>
      </c>
      <c r="P12" s="12" t="n">
        <v>206205</v>
      </c>
      <c r="Q12" s="12" t="n">
        <v>187608</v>
      </c>
    </row>
    <row r="13" customFormat="false" ht="15" hidden="false" customHeight="false" outlineLevel="0" collapsed="false">
      <c r="A13" s="23" t="s">
        <v>12</v>
      </c>
      <c r="B13" s="45" t="n">
        <v>0</v>
      </c>
      <c r="C13" s="45" t="n">
        <v>0</v>
      </c>
      <c r="D13" s="45" t="n">
        <v>0</v>
      </c>
      <c r="E13" s="45" t="n">
        <v>0</v>
      </c>
      <c r="G13" s="23" t="s">
        <v>13</v>
      </c>
      <c r="H13" s="12" t="n">
        <v>871463</v>
      </c>
      <c r="I13" s="12" t="n">
        <v>853216</v>
      </c>
      <c r="J13" s="12" t="n">
        <v>885108</v>
      </c>
      <c r="K13" s="12" t="n">
        <v>792046</v>
      </c>
      <c r="M13" s="23" t="s">
        <v>14</v>
      </c>
      <c r="N13" s="14" t="n">
        <v>-28172</v>
      </c>
      <c r="O13" s="12" t="n">
        <v>23646</v>
      </c>
      <c r="P13" s="14" t="n">
        <v>-50238</v>
      </c>
      <c r="Q13" s="12" t="n">
        <v>2931</v>
      </c>
    </row>
    <row r="14" customFormat="false" ht="15" hidden="false" customHeight="false" outlineLevel="0" collapsed="false">
      <c r="A14" s="23" t="s">
        <v>15</v>
      </c>
      <c r="B14" s="12" t="n">
        <v>3106371</v>
      </c>
      <c r="C14" s="12" t="n">
        <v>3187186</v>
      </c>
      <c r="D14" s="12" t="n">
        <v>3280724</v>
      </c>
      <c r="E14" s="12" t="n">
        <v>3396737</v>
      </c>
      <c r="G14" s="23" t="s">
        <v>16</v>
      </c>
      <c r="H14" s="12" t="n">
        <v>3558</v>
      </c>
      <c r="I14" s="12" t="n">
        <v>21944</v>
      </c>
      <c r="J14" s="12" t="n">
        <v>7255</v>
      </c>
      <c r="K14" s="12" t="n">
        <v>4516</v>
      </c>
      <c r="M14" s="23" t="s">
        <v>9</v>
      </c>
      <c r="N14" s="12" t="n">
        <v>22441</v>
      </c>
      <c r="O14" s="14" t="n">
        <v>-69959</v>
      </c>
      <c r="P14" s="14" t="n">
        <v>-157545</v>
      </c>
      <c r="Q14" s="14" t="n">
        <v>-19240</v>
      </c>
    </row>
    <row r="15" customFormat="false" ht="15" hidden="false" customHeight="false" outlineLevel="0" collapsed="false">
      <c r="A15" s="23" t="s">
        <v>17</v>
      </c>
      <c r="B15" s="45" t="n">
        <v>0</v>
      </c>
      <c r="C15" s="45" t="n">
        <v>0</v>
      </c>
      <c r="D15" s="45" t="n">
        <v>0</v>
      </c>
      <c r="E15" s="12" t="n">
        <v>15429</v>
      </c>
      <c r="G15" s="23" t="s">
        <v>18</v>
      </c>
      <c r="H15" s="12" t="n">
        <v>875021</v>
      </c>
      <c r="I15" s="12" t="n">
        <v>875160</v>
      </c>
      <c r="J15" s="12" t="n">
        <v>892363</v>
      </c>
      <c r="K15" s="12" t="n">
        <v>796562</v>
      </c>
      <c r="M15" s="23" t="s">
        <v>19</v>
      </c>
      <c r="N15" s="14" t="n">
        <v>-166</v>
      </c>
      <c r="O15" s="14" t="n">
        <v>-182</v>
      </c>
      <c r="P15" s="12" t="n">
        <v>239</v>
      </c>
      <c r="Q15" s="14" t="n">
        <v>-341</v>
      </c>
    </row>
    <row r="16" customFormat="false" ht="15" hidden="false" customHeight="false" outlineLevel="0" collapsed="false">
      <c r="A16" s="23" t="s">
        <v>20</v>
      </c>
      <c r="B16" s="12" t="n">
        <v>4166808</v>
      </c>
      <c r="C16" s="12" t="n">
        <v>4244312</v>
      </c>
      <c r="D16" s="12" t="n">
        <v>4312888</v>
      </c>
      <c r="E16" s="12" t="n">
        <v>4712043</v>
      </c>
      <c r="G16" s="23" t="s">
        <v>21</v>
      </c>
      <c r="H16" s="12" t="n">
        <v>45792</v>
      </c>
      <c r="I16" s="12" t="n">
        <v>40394</v>
      </c>
      <c r="J16" s="12" t="n">
        <v>38128</v>
      </c>
      <c r="K16" s="12" t="n">
        <v>34552</v>
      </c>
      <c r="M16" s="23" t="s">
        <v>22</v>
      </c>
      <c r="N16" s="14" t="n">
        <v>-11763</v>
      </c>
      <c r="O16" s="14" t="n">
        <v>-42060</v>
      </c>
      <c r="P16" s="14" t="n">
        <v>-25600</v>
      </c>
      <c r="Q16" s="14" t="n">
        <v>-104740</v>
      </c>
    </row>
    <row r="17" customFormat="false" ht="15" hidden="false" customHeight="false" outlineLevel="0" collapsed="false">
      <c r="A17" s="23" t="s">
        <v>23</v>
      </c>
      <c r="B17" s="12" t="n">
        <v>256344</v>
      </c>
      <c r="C17" s="12" t="n">
        <v>447667</v>
      </c>
      <c r="D17" s="12" t="n">
        <v>528167</v>
      </c>
      <c r="E17" s="12" t="n">
        <v>543447</v>
      </c>
      <c r="G17" s="23" t="s">
        <v>11</v>
      </c>
      <c r="H17" s="17" t="n">
        <v>0</v>
      </c>
      <c r="I17" s="17"/>
      <c r="J17" s="17"/>
      <c r="K17" s="17" t="n">
        <v>0</v>
      </c>
      <c r="M17" s="23" t="s">
        <v>24</v>
      </c>
      <c r="N17" s="12" t="n">
        <v>11408</v>
      </c>
      <c r="O17" s="12" t="n">
        <v>6171</v>
      </c>
      <c r="P17" s="12" t="n">
        <v>10362</v>
      </c>
      <c r="Q17" s="14" t="n">
        <v>-1726</v>
      </c>
    </row>
    <row r="18" customFormat="false" ht="15" hidden="false" customHeight="false" outlineLevel="0" collapsed="false">
      <c r="A18" s="23" t="s">
        <v>25</v>
      </c>
      <c r="B18" s="12" t="n">
        <v>175328</v>
      </c>
      <c r="C18" s="12" t="n">
        <v>233920</v>
      </c>
      <c r="D18" s="12" t="n">
        <v>469761</v>
      </c>
      <c r="E18" s="12" t="n">
        <v>835311</v>
      </c>
      <c r="G18" s="23" t="s">
        <v>26</v>
      </c>
      <c r="H18" s="12" t="n">
        <v>7670</v>
      </c>
      <c r="I18" s="12" t="n">
        <v>11092</v>
      </c>
      <c r="J18" s="12" t="n">
        <v>16523</v>
      </c>
      <c r="K18" s="12" t="n">
        <v>17077</v>
      </c>
      <c r="M18" s="23" t="s">
        <v>27</v>
      </c>
      <c r="N18" s="14" t="n">
        <v>-33303</v>
      </c>
      <c r="O18" s="14" t="n">
        <v>-24330</v>
      </c>
      <c r="P18" s="14" t="n">
        <v>-12561</v>
      </c>
      <c r="Q18" s="14" t="n">
        <v>-17489</v>
      </c>
    </row>
    <row r="19" customFormat="false" ht="15" hidden="false" customHeight="false" outlineLevel="0" collapsed="false">
      <c r="A19" s="23" t="s">
        <v>28</v>
      </c>
      <c r="B19" s="12" t="n">
        <v>31732</v>
      </c>
      <c r="C19" s="12" t="n">
        <v>33205</v>
      </c>
      <c r="D19" s="12" t="n">
        <v>33922</v>
      </c>
      <c r="E19" s="12" t="n">
        <v>31343</v>
      </c>
      <c r="G19" s="23" t="s">
        <v>29</v>
      </c>
      <c r="H19" s="12" t="n">
        <v>53462</v>
      </c>
      <c r="I19" s="12" t="n">
        <v>51486</v>
      </c>
      <c r="J19" s="12" t="n">
        <v>54651</v>
      </c>
      <c r="K19" s="12" t="n">
        <v>51629</v>
      </c>
      <c r="M19" s="23" t="s">
        <v>30</v>
      </c>
      <c r="N19" s="14" t="n">
        <v>-94787</v>
      </c>
      <c r="O19" s="14" t="n">
        <v>-90066</v>
      </c>
      <c r="P19" s="14" t="n">
        <v>-73731</v>
      </c>
      <c r="Q19" s="14" t="n">
        <v>-62658</v>
      </c>
    </row>
    <row r="20" customFormat="false" ht="15" hidden="false" customHeight="false" outlineLevel="0" collapsed="false">
      <c r="A20" s="23" t="s">
        <v>31</v>
      </c>
      <c r="B20" s="12" t="n">
        <v>3703404</v>
      </c>
      <c r="C20" s="12" t="n">
        <v>3529520</v>
      </c>
      <c r="D20" s="12" t="n">
        <v>3281038</v>
      </c>
      <c r="E20" s="12" t="n">
        <v>3301942</v>
      </c>
      <c r="G20" s="23" t="s">
        <v>32</v>
      </c>
      <c r="H20" s="12" t="n">
        <v>821559</v>
      </c>
      <c r="I20" s="12" t="n">
        <v>823674</v>
      </c>
      <c r="J20" s="12" t="n">
        <v>837712</v>
      </c>
      <c r="K20" s="12" t="n">
        <v>744933</v>
      </c>
      <c r="M20" s="23" t="s">
        <v>33</v>
      </c>
      <c r="N20" s="14" t="n">
        <v>-252012</v>
      </c>
      <c r="O20" s="14" t="n">
        <v>-283376</v>
      </c>
      <c r="P20" s="14" t="n">
        <v>-358376</v>
      </c>
      <c r="Q20" s="14" t="n">
        <v>-225299</v>
      </c>
    </row>
    <row r="21" customFormat="false" ht="15" hidden="false" customHeight="false" outlineLevel="0" collapsed="false">
      <c r="A21" s="23" t="s">
        <v>34</v>
      </c>
      <c r="B21" s="17"/>
      <c r="C21" s="17"/>
      <c r="D21" s="45"/>
      <c r="E21" s="17"/>
      <c r="G21" s="23" t="s">
        <v>35</v>
      </c>
      <c r="H21" s="12" t="n">
        <v>15475</v>
      </c>
      <c r="I21" s="12" t="n">
        <v>21742</v>
      </c>
      <c r="J21" s="12" t="n">
        <v>16416</v>
      </c>
      <c r="K21" s="12" t="n">
        <v>24450</v>
      </c>
      <c r="M21" s="23" t="s">
        <v>36</v>
      </c>
      <c r="N21" s="14" t="n">
        <v>-631671</v>
      </c>
      <c r="O21" s="14" t="n">
        <v>-552926</v>
      </c>
      <c r="P21" s="14" t="n">
        <v>-835308</v>
      </c>
      <c r="Q21" s="14" t="n">
        <v>-281109</v>
      </c>
    </row>
    <row r="22" customFormat="false" ht="15" hidden="false" customHeight="false" outlineLevel="0" collapsed="false">
      <c r="A22" s="23" t="s">
        <v>37</v>
      </c>
      <c r="B22" s="12" t="n">
        <v>4166808</v>
      </c>
      <c r="C22" s="12" t="n">
        <v>4244312</v>
      </c>
      <c r="D22" s="12" t="n">
        <v>4312888</v>
      </c>
      <c r="E22" s="12" t="n">
        <v>4712043</v>
      </c>
      <c r="G22" s="23" t="s">
        <v>8</v>
      </c>
      <c r="H22" s="12" t="n">
        <v>806084</v>
      </c>
      <c r="I22" s="12" t="n">
        <v>801932</v>
      </c>
      <c r="J22" s="12" t="n">
        <v>821296</v>
      </c>
      <c r="K22" s="12" t="n">
        <v>720483</v>
      </c>
      <c r="M22" s="23" t="s">
        <v>38</v>
      </c>
      <c r="N22" s="12" t="n">
        <v>289661</v>
      </c>
      <c r="O22" s="12" t="n">
        <v>311195</v>
      </c>
      <c r="P22" s="12" t="n">
        <v>786452</v>
      </c>
      <c r="Q22" s="12" t="n">
        <v>558359</v>
      </c>
    </row>
    <row r="23" customFormat="false" ht="15" hidden="false" customHeight="false" outlineLevel="0" collapsed="false">
      <c r="G23" s="23" t="s">
        <v>39</v>
      </c>
      <c r="H23" s="12" t="n">
        <v>771070</v>
      </c>
      <c r="I23" s="12" t="n">
        <v>601338</v>
      </c>
      <c r="J23" s="12" t="n">
        <v>457862</v>
      </c>
      <c r="K23" s="12" t="n">
        <v>264579</v>
      </c>
      <c r="M23" s="23" t="s">
        <v>40</v>
      </c>
      <c r="N23" s="12" t="n">
        <v>286751</v>
      </c>
      <c r="O23" s="12" t="n">
        <v>289661</v>
      </c>
      <c r="P23" s="12" t="n">
        <v>311195</v>
      </c>
      <c r="Q23" s="12" t="n">
        <v>786452</v>
      </c>
    </row>
    <row r="24" customFormat="false" ht="15" hidden="false" customHeight="false" outlineLevel="0" collapsed="false">
      <c r="G24" s="23" t="s">
        <v>41</v>
      </c>
      <c r="H24" s="45" t="n">
        <v>0</v>
      </c>
      <c r="I24" s="45" t="n">
        <v>0</v>
      </c>
      <c r="J24" s="12" t="n">
        <v>45620</v>
      </c>
      <c r="K24" s="45" t="n">
        <v>0</v>
      </c>
      <c r="M24" s="2" t="s">
        <v>42</v>
      </c>
      <c r="N24" s="12" t="n">
        <f aca="false">SUM(N11:N17)</f>
        <v>1008863</v>
      </c>
      <c r="O24" s="12" t="n">
        <f aca="false">SUM(O11:O17)</f>
        <v>929164</v>
      </c>
      <c r="P24" s="12" t="n">
        <f aca="false">SUM(P11:P17)</f>
        <v>804719</v>
      </c>
      <c r="Q24" s="12" t="n">
        <f aca="false">SUM(Q11:Q17)</f>
        <v>814648</v>
      </c>
    </row>
    <row r="25" customFormat="false" ht="15" hidden="false" customHeight="false" outlineLevel="0" collapsed="false">
      <c r="G25" s="23" t="s">
        <v>43</v>
      </c>
      <c r="H25" s="12" t="n">
        <v>787500</v>
      </c>
      <c r="I25" s="12" t="n">
        <v>630000</v>
      </c>
      <c r="J25" s="12" t="n">
        <v>630000</v>
      </c>
      <c r="K25" s="12" t="n">
        <v>525000</v>
      </c>
      <c r="M25" s="2" t="s">
        <v>44</v>
      </c>
      <c r="N25" s="12" t="n">
        <f aca="false">N18+N19</f>
        <v>-128090</v>
      </c>
      <c r="O25" s="12" t="n">
        <f aca="false">O18+O19</f>
        <v>-114396</v>
      </c>
      <c r="P25" s="12" t="n">
        <f aca="false">P18+P19</f>
        <v>-86292</v>
      </c>
      <c r="Q25" s="12" t="n">
        <f aca="false">Q18+Q19</f>
        <v>-80147</v>
      </c>
    </row>
    <row r="26" customFormat="false" ht="15" hidden="false" customHeight="false" outlineLevel="0" collapsed="false">
      <c r="G26" s="23" t="s">
        <v>45</v>
      </c>
      <c r="H26" s="12" t="n">
        <v>2200</v>
      </c>
      <c r="I26" s="12" t="n">
        <v>2200</v>
      </c>
      <c r="J26" s="12" t="n">
        <v>2200</v>
      </c>
      <c r="K26" s="12" t="n">
        <v>2200</v>
      </c>
      <c r="M26" s="2" t="s">
        <v>46</v>
      </c>
      <c r="N26" s="12" t="n">
        <f aca="false">N20+N21</f>
        <v>-883683</v>
      </c>
      <c r="O26" s="12" t="n">
        <f aca="false">O20+O21</f>
        <v>-836302</v>
      </c>
      <c r="P26" s="12" t="n">
        <f aca="false">P20+P21</f>
        <v>-1193684</v>
      </c>
      <c r="Q26" s="12" t="n">
        <f aca="false">Q20+Q21</f>
        <v>-506408</v>
      </c>
    </row>
    <row r="27" customFormat="false" ht="15" hidden="false" customHeight="false" outlineLevel="0" collapsed="false">
      <c r="G27" s="23" t="s">
        <v>47</v>
      </c>
      <c r="H27" s="12" t="n">
        <v>787454</v>
      </c>
      <c r="I27" s="12" t="n">
        <v>771070</v>
      </c>
      <c r="J27" s="12" t="n">
        <v>601338</v>
      </c>
      <c r="K27" s="12" t="n">
        <v>457862</v>
      </c>
      <c r="M27" s="2" t="s">
        <v>48</v>
      </c>
      <c r="N27" s="12" t="n">
        <f aca="false">N24+N25+N26</f>
        <v>-2910</v>
      </c>
      <c r="O27" s="12" t="n">
        <f aca="false">O24+O25+O26</f>
        <v>-21534</v>
      </c>
      <c r="P27" s="12" t="n">
        <f aca="false">P24+P25+P26</f>
        <v>-475257</v>
      </c>
      <c r="Q27" s="12" t="n">
        <f aca="false">Q24+Q25+Q26</f>
        <v>228093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0.127576072619617</v>
      </c>
      <c r="C30" s="24" t="n">
        <f aca="false">C11/C$16</f>
        <v>0.119179033021135</v>
      </c>
      <c r="D30" s="24" t="n">
        <f aca="false">D11/D$16</f>
        <v>0.127717204805689</v>
      </c>
      <c r="E30" s="24" t="n">
        <f aca="false">E11/E$16</f>
        <v>0.207147727641704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0.499748911640456</v>
      </c>
      <c r="O30" s="26" t="n">
        <f aca="false">O11/I$11</f>
        <v>0.514260704506249</v>
      </c>
      <c r="P30" s="26" t="n">
        <f aca="false">P11/J$11</f>
        <v>0.506891173705965</v>
      </c>
      <c r="Q30" s="26" t="n">
        <f aca="false">Q11/K$11</f>
        <v>0.501273973454042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0.126920174867669</v>
      </c>
      <c r="C31" s="24" t="n">
        <f aca="false">C12/C$16</f>
        <v>0.129889838447315</v>
      </c>
      <c r="D31" s="24" t="n">
        <f aca="false">D12/D$16</f>
        <v>0.111603640066702</v>
      </c>
      <c r="E31" s="24" t="n">
        <f aca="false">E12/E$16</f>
        <v>0.0687149926263406</v>
      </c>
      <c r="F31" s="6"/>
      <c r="G31" s="25" t="s">
        <v>10</v>
      </c>
      <c r="H31" s="24" t="n">
        <f aca="false">H12/H$11</f>
        <v>0.459717987474101</v>
      </c>
      <c r="I31" s="24" t="n">
        <f aca="false">I12/I$11</f>
        <v>0.452852718050007</v>
      </c>
      <c r="J31" s="24" t="n">
        <f aca="false">J12/J$11</f>
        <v>0.453725048001526</v>
      </c>
      <c r="K31" s="24" t="n">
        <f aca="false">K12/K$11</f>
        <v>0.470734026551304</v>
      </c>
      <c r="L31" s="6"/>
      <c r="M31" s="25" t="s">
        <v>11</v>
      </c>
      <c r="N31" s="26" t="n">
        <f aca="false">N12/H$11</f>
        <v>0.129593212058689</v>
      </c>
      <c r="O31" s="26" t="n">
        <f aca="false">O12/I$11</f>
        <v>0.134421151860663</v>
      </c>
      <c r="P31" s="26" t="n">
        <f aca="false">P12/J$11</f>
        <v>0.127266532984501</v>
      </c>
      <c r="Q31" s="26" t="n">
        <f aca="false">Q12/K$11</f>
        <v>0.125364600978684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0.540282012525899</v>
      </c>
      <c r="I32" s="24" t="n">
        <f aca="false">I13/I$11</f>
        <v>0.547147281949993</v>
      </c>
      <c r="J32" s="24" t="n">
        <f aca="false">J13/J$11</f>
        <v>0.546274951998474</v>
      </c>
      <c r="K32" s="24" t="n">
        <f aca="false">K13/K$11</f>
        <v>0.529265973448696</v>
      </c>
      <c r="L32" s="6"/>
      <c r="M32" s="25" t="s">
        <v>14</v>
      </c>
      <c r="N32" s="26" t="n">
        <f aca="false">N13/H$11</f>
        <v>-0.017465830284108</v>
      </c>
      <c r="O32" s="26" t="n">
        <f aca="false">O13/I$11</f>
        <v>0.0151636216725771</v>
      </c>
      <c r="P32" s="26" t="n">
        <f aca="false">P13/J$11</f>
        <v>-0.0310061156813624</v>
      </c>
      <c r="Q32" s="26" t="n">
        <f aca="false">Q13/K$11</f>
        <v>0.00195857130542687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0.745503752512715</v>
      </c>
      <c r="C33" s="24" t="n">
        <f aca="false">C14/C$16</f>
        <v>0.75093112853155</v>
      </c>
      <c r="D33" s="24" t="n">
        <f aca="false">D14/D$16</f>
        <v>0.760679155127608</v>
      </c>
      <c r="E33" s="24" t="n">
        <f aca="false">E14/E$16</f>
        <v>0.720862903840224</v>
      </c>
      <c r="F33" s="6"/>
      <c r="G33" s="25" t="s">
        <v>16</v>
      </c>
      <c r="H33" s="24" t="n">
        <f aca="false">H14/H$11</f>
        <v>0.00220585773643534</v>
      </c>
      <c r="I33" s="24" t="n">
        <f aca="false">I14/I$11</f>
        <v>0.0140721692456666</v>
      </c>
      <c r="J33" s="24" t="n">
        <f aca="false">J14/J$11</f>
        <v>0.00447767365875004</v>
      </c>
      <c r="K33" s="24" t="n">
        <f aca="false">K14/K$11</f>
        <v>0.00301771000181089</v>
      </c>
      <c r="L33" s="6"/>
      <c r="M33" s="25" t="s">
        <v>9</v>
      </c>
      <c r="N33" s="26" t="n">
        <f aca="false">N14/H$11</f>
        <v>0.0139127750037508</v>
      </c>
      <c r="O33" s="26" t="n">
        <f aca="false">O14/I$11</f>
        <v>-0.044863055425519</v>
      </c>
      <c r="P33" s="26" t="n">
        <f aca="false">P14/J$11</f>
        <v>-0.0972343344683357</v>
      </c>
      <c r="Q33" s="26" t="n">
        <f aca="false">Q14/K$11</f>
        <v>-0.012856674144119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0.00327437589173104</v>
      </c>
      <c r="F34" s="6"/>
      <c r="G34" s="25" t="s">
        <v>18</v>
      </c>
      <c r="H34" s="24" t="n">
        <f aca="false">H15/H$11</f>
        <v>0.542487870262335</v>
      </c>
      <c r="I34" s="24" t="n">
        <f aca="false">I15/I$11</f>
        <v>0.56121945119566</v>
      </c>
      <c r="J34" s="24" t="n">
        <f aca="false">J15/J$11</f>
        <v>0.550752625657224</v>
      </c>
      <c r="K34" s="24" t="n">
        <f aca="false">K15/K$11</f>
        <v>0.532283683450507</v>
      </c>
      <c r="L34" s="6"/>
      <c r="M34" s="25" t="s">
        <v>19</v>
      </c>
      <c r="N34" s="26" t="n">
        <f aca="false">N15/H$11</f>
        <v>-0.000102915228849991</v>
      </c>
      <c r="O34" s="26" t="n">
        <f aca="false">O15/I$11</f>
        <v>-0.00011671230417022</v>
      </c>
      <c r="P34" s="26" t="n">
        <f aca="false">P15/J$11</f>
        <v>0.000147507099164888</v>
      </c>
      <c r="Q34" s="26" t="n">
        <f aca="false">Q15/K$11</f>
        <v>-0.000227865170641611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0.0283897238524022</v>
      </c>
      <c r="I35" s="24" t="n">
        <f aca="false">I16/I$11</f>
        <v>0.0259037187618235</v>
      </c>
      <c r="J35" s="24" t="n">
        <f aca="false">J16/J$11</f>
        <v>0.0235320112006646</v>
      </c>
      <c r="K35" s="24" t="n">
        <f aca="false">K16/K$11</f>
        <v>0.0230885553548649</v>
      </c>
      <c r="L35" s="6"/>
      <c r="M35" s="25" t="s">
        <v>22</v>
      </c>
      <c r="N35" s="26" t="n">
        <f aca="false">N16/H$11</f>
        <v>-0.00729272190941228</v>
      </c>
      <c r="O35" s="26" t="n">
        <f aca="false">O16/I$11</f>
        <v>-0.0269720852384586</v>
      </c>
      <c r="P35" s="26" t="n">
        <f aca="false">P16/J$11</f>
        <v>-0.015799923592557</v>
      </c>
      <c r="Q35" s="26" t="n">
        <f aca="false">Q16/K$11</f>
        <v>-0.0699900233812385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0.0615204732255482</v>
      </c>
      <c r="C36" s="24" t="n">
        <f aca="false">C17/C$16</f>
        <v>0.105474573970999</v>
      </c>
      <c r="D36" s="24" t="n">
        <f aca="false">D17/D$16</f>
        <v>0.122462489171989</v>
      </c>
      <c r="E36" s="24" t="n">
        <f aca="false">E17/E$16</f>
        <v>0.115331502704878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0.00707263211277525</v>
      </c>
      <c r="O36" s="26" t="n">
        <f aca="false">O17/I$11</f>
        <v>0.00395731664304632</v>
      </c>
      <c r="P36" s="26" t="n">
        <f aca="false">P17/J$11</f>
        <v>0.00639526594789358</v>
      </c>
      <c r="Q36" s="26" t="n">
        <f aca="false">Q17/K$11</f>
        <v>-0.00115335860565226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0.0420772927382303</v>
      </c>
      <c r="C37" s="24" t="n">
        <f aca="false">C18/C$16</f>
        <v>0.0551137616650237</v>
      </c>
      <c r="D37" s="24" t="n">
        <f aca="false">D18/D$16</f>
        <v>0.108920287287776</v>
      </c>
      <c r="E37" s="24" t="n">
        <f aca="false">E18/E$16</f>
        <v>0.177271514712408</v>
      </c>
      <c r="F37" s="6"/>
      <c r="G37" s="25" t="s">
        <v>26</v>
      </c>
      <c r="H37" s="24" t="n">
        <f aca="false">H18/H$11</f>
        <v>0.00475517954987607</v>
      </c>
      <c r="I37" s="24" t="n">
        <f aca="false">I18/I$11</f>
        <v>0.00711303779041805</v>
      </c>
      <c r="J37" s="24" t="n">
        <f aca="false">J18/J$11</f>
        <v>0.0101977397468679</v>
      </c>
      <c r="K37" s="24" t="n">
        <f aca="false">K18/K$11</f>
        <v>0.011411300642366</v>
      </c>
      <c r="L37" s="6"/>
      <c r="M37" s="25" t="s">
        <v>27</v>
      </c>
      <c r="N37" s="26" t="n">
        <f aca="false">N18/H$11</f>
        <v>-0.0206469028095857</v>
      </c>
      <c r="O37" s="26" t="n">
        <f aca="false">O18/I$11</f>
        <v>-0.0156022547278102</v>
      </c>
      <c r="P37" s="26" t="n">
        <f aca="false">P18/J$11</f>
        <v>-0.00775245469711361</v>
      </c>
      <c r="Q37" s="26" t="n">
        <f aca="false">Q18/K$11</f>
        <v>-0.0116866098807951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0.00761542168489645</v>
      </c>
      <c r="C38" s="24" t="n">
        <f aca="false">C19/C$16</f>
        <v>0.0078234116624791</v>
      </c>
      <c r="D38" s="24" t="n">
        <f aca="false">D19/D$16</f>
        <v>0.00786526336876821</v>
      </c>
      <c r="E38" s="24" t="n">
        <f aca="false">E19/E$16</f>
        <v>0.00665167953688029</v>
      </c>
      <c r="F38" s="6"/>
      <c r="G38" s="25" t="s">
        <v>29</v>
      </c>
      <c r="H38" s="24" t="n">
        <f aca="false">H19/H$11</f>
        <v>0.0331449034022783</v>
      </c>
      <c r="I38" s="24" t="n">
        <f aca="false">I19/I$11</f>
        <v>0.0330167565522416</v>
      </c>
      <c r="J38" s="24" t="n">
        <f aca="false">J19/J$11</f>
        <v>0.0337297509475325</v>
      </c>
      <c r="K38" s="24" t="n">
        <f aca="false">K19/K$11</f>
        <v>0.0344998559972309</v>
      </c>
      <c r="L38" s="6"/>
      <c r="M38" s="25" t="s">
        <v>30</v>
      </c>
      <c r="N38" s="26" t="n">
        <f aca="false">N19/H$11</f>
        <v>-0.0587652156446027</v>
      </c>
      <c r="O38" s="26" t="n">
        <f aca="false">O19/I$11</f>
        <v>-0.0577571999307422</v>
      </c>
      <c r="P38" s="26" t="n">
        <f aca="false">P19/J$11</f>
        <v>-0.0455056315001102</v>
      </c>
      <c r="Q38" s="26" t="n">
        <f aca="false">Q19/K$11</f>
        <v>-0.0418697239356658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0.888786812351325</v>
      </c>
      <c r="C39" s="24" t="n">
        <f aca="false">C20/C$16</f>
        <v>0.831588252701498</v>
      </c>
      <c r="D39" s="24" t="n">
        <f aca="false">D20/D$16</f>
        <v>0.760751960171467</v>
      </c>
      <c r="E39" s="24" t="n">
        <f aca="false">E20/E$16</f>
        <v>0.700745303045834</v>
      </c>
      <c r="F39" s="6"/>
      <c r="G39" s="25" t="s">
        <v>32</v>
      </c>
      <c r="H39" s="24" t="n">
        <f aca="false">H20/H$11</f>
        <v>0.509342966860056</v>
      </c>
      <c r="I39" s="24" t="n">
        <f aca="false">I20/I$11</f>
        <v>0.528202694643418</v>
      </c>
      <c r="J39" s="24" t="n">
        <f aca="false">J20/J$11</f>
        <v>0.517022874709692</v>
      </c>
      <c r="K39" s="24" t="n">
        <f aca="false">K20/K$11</f>
        <v>0.497783827453276</v>
      </c>
      <c r="L39" s="6"/>
      <c r="M39" s="25" t="s">
        <v>33</v>
      </c>
      <c r="N39" s="26" t="n">
        <f aca="false">N20/H$11</f>
        <v>-0.156240196704481</v>
      </c>
      <c r="O39" s="26" t="n">
        <f aca="false">O20/I$11</f>
        <v>-0.181722340145826</v>
      </c>
      <c r="P39" s="26" t="n">
        <f aca="false">P20/J$11</f>
        <v>-0.22118411786743</v>
      </c>
      <c r="Q39" s="26" t="n">
        <f aca="false">Q20/K$11</f>
        <v>-0.150550718710804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0.00959405521960002</v>
      </c>
      <c r="I40" s="24" t="n">
        <f aca="false">I21/I$11</f>
        <v>0.0139426314135656</v>
      </c>
      <c r="J40" s="24" t="n">
        <f aca="false">J21/J$11</f>
        <v>0.0101317010037272</v>
      </c>
      <c r="K40" s="24" t="n">
        <f aca="false">K21/K$11</f>
        <v>0.0163381332028956</v>
      </c>
      <c r="L40" s="6"/>
      <c r="M40" s="25" t="s">
        <v>36</v>
      </c>
      <c r="N40" s="26" t="n">
        <f aca="false">N21/H$11</f>
        <v>-0.391617864595797</v>
      </c>
      <c r="O40" s="26" t="n">
        <f aca="false">O21/I$11</f>
        <v>-0.354578392833095</v>
      </c>
      <c r="P40" s="26" t="n">
        <f aca="false">P21/J$11</f>
        <v>-0.515539163134828</v>
      </c>
      <c r="Q40" s="26" t="n">
        <f aca="false">Q21/K$11</f>
        <v>-0.187844428897046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0.499748911640456</v>
      </c>
      <c r="I41" s="24" t="n">
        <f aca="false">I22/I$11</f>
        <v>0.514260063229853</v>
      </c>
      <c r="J41" s="24" t="n">
        <f aca="false">J22/J$11</f>
        <v>0.506891173705965</v>
      </c>
      <c r="K41" s="24" t="n">
        <f aca="false">K22/K$11</f>
        <v>0.48144569425038</v>
      </c>
      <c r="L41" s="6"/>
      <c r="M41" s="25" t="s">
        <v>38</v>
      </c>
      <c r="N41" s="26" t="n">
        <f aca="false">N22/H$11</f>
        <v>0.17958149460191</v>
      </c>
      <c r="O41" s="26" t="n">
        <f aca="false">O22/I$11</f>
        <v>0.199562008221163</v>
      </c>
      <c r="P41" s="26" t="n">
        <f aca="false">P22/J$11</f>
        <v>0.485385996453658</v>
      </c>
      <c r="Q41" s="26" t="n">
        <f aca="false">Q22/K$11</f>
        <v>0.373110172475892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0.478041238008206</v>
      </c>
      <c r="I42" s="24" t="n">
        <f aca="false">I23/I$11</f>
        <v>0.385623865742374</v>
      </c>
      <c r="J42" s="24" t="n">
        <f aca="false">J23/J$11</f>
        <v>0.282585336559974</v>
      </c>
      <c r="K42" s="24" t="n">
        <f aca="false">K23/K$11</f>
        <v>0.176798648044536</v>
      </c>
      <c r="L42" s="6"/>
      <c r="M42" s="25" t="s">
        <v>40</v>
      </c>
      <c r="N42" s="26" t="n">
        <f aca="false">N23/H$11</f>
        <v>0.177777378240745</v>
      </c>
      <c r="O42" s="26" t="n">
        <f aca="false">O23/I$11</f>
        <v>0.185752762298078</v>
      </c>
      <c r="P42" s="26" t="n">
        <f aca="false">P23/J$11</f>
        <v>0.192064735249444</v>
      </c>
      <c r="Q42" s="26" t="n">
        <f aca="false">Q23/K$11</f>
        <v>0.525527915488083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0.0281559575895488</v>
      </c>
      <c r="K43" s="24" t="n">
        <f aca="false">K24/K$11</f>
        <v>0</v>
      </c>
      <c r="L43" s="6"/>
      <c r="M43" s="2" t="s">
        <v>49</v>
      </c>
      <c r="N43" s="26" t="n">
        <f aca="false">N24/H11</f>
        <v>0.625466063393301</v>
      </c>
      <c r="O43" s="26" t="n">
        <f aca="false">O24/I11</f>
        <v>0.595850941714388</v>
      </c>
      <c r="P43" s="26" t="n">
        <f aca="false">P24/J11</f>
        <v>0.496660105995269</v>
      </c>
      <c r="Q43" s="26" t="n">
        <f aca="false">Q24/K11</f>
        <v>0.544369224436502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0.488227365779322</v>
      </c>
      <c r="I44" s="24" t="n">
        <f aca="false">I25/I$11</f>
        <v>0.404004129819994</v>
      </c>
      <c r="J44" s="24" t="n">
        <f aca="false">J25/J$11</f>
        <v>0.388826244660582</v>
      </c>
      <c r="K44" s="24" t="n">
        <f aca="false">K25/K$11</f>
        <v>0.350818811105119</v>
      </c>
      <c r="L44" s="6"/>
      <c r="M44" s="2" t="s">
        <v>50</v>
      </c>
      <c r="N44" s="26" t="n">
        <f aca="false">N24/B16</f>
        <v>0.242118907326663</v>
      </c>
      <c r="O44" s="26" t="n">
        <f aca="false">O24/C16</f>
        <v>0.218919815508379</v>
      </c>
      <c r="P44" s="26" t="n">
        <f aca="false">P24/D16</f>
        <v>0.186584720029827</v>
      </c>
      <c r="Q44" s="26" t="n">
        <f aca="false">Q24/E16</f>
        <v>0.172886367972449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0.00136393676789144</v>
      </c>
      <c r="I45" s="24" t="n">
        <f aca="false">I26/I$11</f>
        <v>0.00141080807238728</v>
      </c>
      <c r="J45" s="24" t="n">
        <f aca="false">J26/J$11</f>
        <v>0.00135780593373537</v>
      </c>
      <c r="K45" s="24" t="n">
        <f aca="false">K26/K$11</f>
        <v>0.00147009787510717</v>
      </c>
      <c r="L45" s="6"/>
      <c r="M45" s="2" t="s">
        <v>51</v>
      </c>
      <c r="N45" s="26" t="n">
        <f aca="false">N24/B20</f>
        <v>0.272415053826156</v>
      </c>
      <c r="O45" s="26" t="n">
        <f aca="false">O24/C20</f>
        <v>0.263255060178155</v>
      </c>
      <c r="P45" s="26" t="n">
        <f aca="false">P24/D20</f>
        <v>0.245263541598726</v>
      </c>
      <c r="Q45" s="26" t="n">
        <f aca="false">Q24/E20</f>
        <v>0.246717840591991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0.488198847101448</v>
      </c>
      <c r="I46" s="24" t="n">
        <f aca="false">I27/I$11</f>
        <v>0.494468991079845</v>
      </c>
      <c r="J46" s="24" t="n">
        <f aca="false">J27/J$11</f>
        <v>0.371136502082072</v>
      </c>
      <c r="K46" s="24" t="n">
        <f aca="false">K27/K$11</f>
        <v>0.30595543331469</v>
      </c>
      <c r="L46" s="6"/>
      <c r="M46" s="2" t="s">
        <v>52</v>
      </c>
      <c r="N46" s="26" t="n">
        <f aca="false">N24/H22</f>
        <v>1.25156063139822</v>
      </c>
      <c r="O46" s="26" t="n">
        <f aca="false">O24/I22</f>
        <v>1.15865684372241</v>
      </c>
      <c r="P46" s="26" t="n">
        <f aca="false">P24/J22</f>
        <v>0.979816046833298</v>
      </c>
      <c r="Q46" s="26" t="n">
        <f aca="false">Q24/K22</f>
        <v>1.130697046287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2.17707011592477</v>
      </c>
      <c r="O47" s="26" t="n">
        <f aca="false">O24/(C22-C20)</f>
        <v>1.29990822505008</v>
      </c>
      <c r="P47" s="26" t="n">
        <f aca="false">P24/(D22-D20)</f>
        <v>0.779879827494306</v>
      </c>
      <c r="Q47" s="26" t="n">
        <f aca="false">Q24/(E22-E20)</f>
        <v>0.577723156000882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1.28109587301587</v>
      </c>
      <c r="O48" s="26" t="n">
        <f aca="false">O24/I25</f>
        <v>1.47486349206349</v>
      </c>
      <c r="P48" s="26" t="n">
        <f aca="false">P24/J25</f>
        <v>1.27733174603175</v>
      </c>
      <c r="Q48" s="26" t="n">
        <f aca="false">Q24/K25</f>
        <v>1.55171047619048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30.2934570459118</v>
      </c>
      <c r="O49" s="26" t="n">
        <f aca="false">O24/(O18*-1)</f>
        <v>38.190053431977</v>
      </c>
      <c r="P49" s="26" t="n">
        <f aca="false">P24/(P18*-1)</f>
        <v>64.0648833691585</v>
      </c>
      <c r="Q49" s="26" t="n">
        <f aca="false">Q24/(Q18*-1)</f>
        <v>46.5805935159243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0.0211606691708756</v>
      </c>
      <c r="I50" s="28" t="n">
        <f aca="false">LN(I13/J13)</f>
        <v>-0.0366969321091973</v>
      </c>
      <c r="J50" s="28" t="n">
        <f aca="false">LN(J13/K13)</f>
        <v>0.111090200524822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2.07371734856287</v>
      </c>
      <c r="C51" s="30" t="n">
        <f aca="false">C11/C17</f>
        <v>1.12993139990216</v>
      </c>
      <c r="D51" s="30" t="n">
        <f aca="false">D11/D17</f>
        <v>1.0429087769588</v>
      </c>
      <c r="E51" s="30" t="n">
        <f aca="false">E11/E17</f>
        <v>1.79610707207879</v>
      </c>
      <c r="G51" s="29" t="s">
        <v>58</v>
      </c>
      <c r="H51" s="63" t="n">
        <f aca="false">H13/H11</f>
        <v>0.540282012525899</v>
      </c>
      <c r="I51" s="63" t="n">
        <f aca="false">I13/I11</f>
        <v>0.547147281949993</v>
      </c>
      <c r="J51" s="63" t="n">
        <f aca="false">J13/J11</f>
        <v>0.546274951998474</v>
      </c>
      <c r="K51" s="63" t="n">
        <f aca="false">K13/K11</f>
        <v>0.529265973448696</v>
      </c>
      <c r="M51" s="2" t="s">
        <v>59</v>
      </c>
      <c r="N51" s="32" t="n">
        <f aca="false">(N11-N24-N25)/B16</f>
        <v>-0.0179247519924124</v>
      </c>
      <c r="O51" s="32" t="n">
        <f aca="false">(O11-O24-O25)/C16</f>
        <v>-0.00302404724252128</v>
      </c>
      <c r="P51" s="32" t="n">
        <f aca="false">(P11-P24-P25)/D16</f>
        <v>0.0238515352126</v>
      </c>
      <c r="Q51" s="32" t="n">
        <f aca="false">(Q11-Q24-Q25)/E16</f>
        <v>0.0033223381026022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0.197167472079347</v>
      </c>
      <c r="C52" s="31" t="n">
        <f aca="false">I20/C16</f>
        <v>0.194065375024268</v>
      </c>
      <c r="D52" s="31" t="n">
        <f aca="false">J20/D16</f>
        <v>0.194234582488578</v>
      </c>
      <c r="E52" s="31" t="n">
        <f aca="false">K20/E16</f>
        <v>0.158091299251726</v>
      </c>
      <c r="F52" s="31"/>
      <c r="G52" s="29" t="s">
        <v>61</v>
      </c>
      <c r="H52" s="63" t="n">
        <f aca="false">H16/H11</f>
        <v>0.0283897238524022</v>
      </c>
      <c r="I52" s="63" t="n">
        <f aca="false">I16/I11</f>
        <v>0.0259037187618235</v>
      </c>
      <c r="J52" s="63" t="n">
        <f aca="false">J16/J11</f>
        <v>0.0235320112006646</v>
      </c>
      <c r="K52" s="63" t="n">
        <f aca="false">K16/K11</f>
        <v>0.0230885553548649</v>
      </c>
      <c r="M52" s="2"/>
      <c r="N52" s="12"/>
      <c r="O52" s="12"/>
    </row>
    <row r="53" customFormat="false" ht="15" hidden="false" customHeight="false" outlineLevel="0" collapsed="false">
      <c r="A53" s="29" t="s">
        <v>62</v>
      </c>
      <c r="B53" s="31" t="n">
        <f aca="false">H20/B20</f>
        <v>0.221838881202267</v>
      </c>
      <c r="C53" s="31" t="n">
        <f aca="false">I20/C20</f>
        <v>0.233367143407602</v>
      </c>
      <c r="D53" s="31" t="n">
        <f aca="false">J20/D20</f>
        <v>0.255319200813889</v>
      </c>
      <c r="E53" s="31" t="n">
        <f aca="false">K20/E20</f>
        <v>0.225604507892628</v>
      </c>
      <c r="G53" s="29" t="s">
        <v>11</v>
      </c>
      <c r="H53" s="63" t="n">
        <f aca="false">H17/H11</f>
        <v>0</v>
      </c>
      <c r="I53" s="63" t="n">
        <f aca="false">I17/I11</f>
        <v>0</v>
      </c>
      <c r="J53" s="63" t="n">
        <f aca="false">J17/J11</f>
        <v>0</v>
      </c>
      <c r="K53" s="63" t="n">
        <f aca="false">K17/K11</f>
        <v>0</v>
      </c>
      <c r="M53" s="2"/>
      <c r="N53" s="32"/>
      <c r="O53" s="32"/>
    </row>
    <row r="54" customFormat="false" ht="15" hidden="false" customHeight="false" outlineLevel="0" collapsed="false">
      <c r="A54" s="29" t="s">
        <v>63</v>
      </c>
      <c r="B54" s="30" t="n">
        <f aca="false">H11/B12</f>
        <v>3.04996104770333</v>
      </c>
      <c r="C54" s="30" t="n">
        <f aca="false">I11/C12</f>
        <v>2.82860475282654</v>
      </c>
      <c r="D54" s="30" t="n">
        <f aca="false">J11/D12</f>
        <v>3.36618855098539</v>
      </c>
      <c r="E54" s="30" t="n">
        <f aca="false">K11/E12</f>
        <v>4.62184824638344</v>
      </c>
      <c r="G54" s="29" t="s">
        <v>64</v>
      </c>
      <c r="H54" s="63" t="n">
        <f aca="false">H25/H22</f>
        <v>0.976945330759573</v>
      </c>
      <c r="I54" s="63" t="n">
        <f aca="false">I25/I22</f>
        <v>0.785602769312111</v>
      </c>
      <c r="J54" s="63" t="n">
        <f aca="false">J25/J22</f>
        <v>0.767080321832811</v>
      </c>
      <c r="K54" s="63" t="n">
        <f aca="false">K25/K22</f>
        <v>0.728677845278792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0.111213187648675</v>
      </c>
      <c r="C55" s="31" t="n">
        <f aca="false">(C22-C20)/C16</f>
        <v>0.168411747298502</v>
      </c>
      <c r="D55" s="31" t="n">
        <f aca="false">(D22-D20)/D16</f>
        <v>0.239248039828532</v>
      </c>
      <c r="E55" s="31" t="n">
        <f aca="false">(E22-E20)/E16</f>
        <v>0.299254696954166</v>
      </c>
      <c r="G55" s="29" t="s">
        <v>66</v>
      </c>
      <c r="H55" s="63" t="n">
        <f aca="false">H22/H11</f>
        <v>0.499748911640456</v>
      </c>
      <c r="I55" s="63" t="n">
        <f aca="false">I22/I11</f>
        <v>0.514260063229853</v>
      </c>
      <c r="J55" s="63" t="n">
        <f aca="false">J22/J11</f>
        <v>0.506891173705965</v>
      </c>
      <c r="K55" s="63" t="n">
        <f aca="false">K22/K11</f>
        <v>0.48144569425038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0.125129205455305</v>
      </c>
      <c r="C56" s="31" t="n">
        <f aca="false">(C22-C20)/C20</f>
        <v>0.20251818944219</v>
      </c>
      <c r="D56" s="31" t="n">
        <f aca="false">(D22-D20)/D20</f>
        <v>0.314488890406024</v>
      </c>
      <c r="E56" s="31" t="n">
        <f aca="false">(E22-E20)/E20</f>
        <v>0.427052019690231</v>
      </c>
      <c r="G56" s="33" t="s">
        <v>68</v>
      </c>
      <c r="H56" s="50" t="n">
        <f aca="false">H13/B16</f>
        <v>0.209144025834644</v>
      </c>
      <c r="I56" s="50" t="n">
        <f aca="false">I13/C16</f>
        <v>0.201025749285161</v>
      </c>
      <c r="J56" s="50" t="n">
        <f aca="false">J13/D16</f>
        <v>0.205223970573778</v>
      </c>
      <c r="K56" s="50" t="n">
        <f aca="false">K13/E16</f>
        <v>0.168089722440988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0.387101589514084</v>
      </c>
      <c r="C57" s="30" t="n">
        <f aca="false">I11/C16</f>
        <v>0.367407014375946</v>
      </c>
      <c r="D57" s="30" t="n">
        <f aca="false">J11/D16</f>
        <v>0.375678895440828</v>
      </c>
      <c r="E57" s="30" t="n">
        <f aca="false">K11/E16</f>
        <v>0.317590268170303</v>
      </c>
      <c r="G57" s="33" t="s">
        <v>70</v>
      </c>
      <c r="H57" s="52" t="n">
        <f aca="false">H25/$B$5</f>
        <v>142.775556824672</v>
      </c>
      <c r="I57" s="52" t="n">
        <f aca="false">I25/$B$5</f>
        <v>114.220445459737</v>
      </c>
      <c r="J57" s="52" t="n">
        <f aca="false">J25/$B$5</f>
        <v>114.220445459737</v>
      </c>
      <c r="K57" s="52" t="n">
        <f aca="false">K25/$B$5</f>
        <v>95.1837045497811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1.12512920545531</v>
      </c>
      <c r="C58" s="30" t="n">
        <f aca="false">C16/C20</f>
        <v>1.20251818944219</v>
      </c>
      <c r="D58" s="30" t="n">
        <f aca="false">D16/D20</f>
        <v>1.31448889040602</v>
      </c>
      <c r="E58" s="30" t="n">
        <f aca="false">E16/E20</f>
        <v>1.42705201969023</v>
      </c>
      <c r="G58" s="33" t="s">
        <v>97</v>
      </c>
      <c r="H58" s="39" t="n">
        <f aca="false">H22/$B$7/1000</f>
        <v>5.11799365079365</v>
      </c>
      <c r="I58" s="39" t="n">
        <f aca="false">I22/$B$7/1000</f>
        <v>5.09163174603175</v>
      </c>
      <c r="J58" s="39" t="n">
        <f aca="false">J22/$B$7/1000</f>
        <v>5.21457777777778</v>
      </c>
      <c r="K58" s="39" t="n">
        <f aca="false">K22/$B$7/1000</f>
        <v>4.57449523809524</v>
      </c>
      <c r="M58" s="6"/>
    </row>
    <row r="59" customFormat="false" ht="15" hidden="false" customHeight="false" outlineLevel="0" collapsed="false">
      <c r="G59" s="33" t="s">
        <v>98</v>
      </c>
      <c r="H59" s="64" t="n">
        <v>23.51</v>
      </c>
      <c r="I59" s="64" t="n">
        <v>22.41</v>
      </c>
      <c r="J59" s="64" t="n">
        <v>20.83</v>
      </c>
      <c r="K59" s="64" t="n">
        <v>20.96</v>
      </c>
      <c r="L59" s="65"/>
      <c r="M59" s="6"/>
    </row>
    <row r="60" customFormat="false" ht="15" hidden="false" customHeight="false" outlineLevel="0" collapsed="false">
      <c r="G60" s="33" t="s">
        <v>74</v>
      </c>
      <c r="H60" s="52" t="n">
        <f aca="false">SQRT(22.5*H58*H59)</f>
        <v>52.031631642959</v>
      </c>
      <c r="I60" s="52" t="n">
        <f aca="false">SQRT(22.5*I58*I59)</f>
        <v>50.6688071415033</v>
      </c>
      <c r="J60" s="52" t="n">
        <f aca="false">SQRT(22.5*J58*J59)</f>
        <v>49.436244193911</v>
      </c>
      <c r="K60" s="52" t="n">
        <f aca="false">SQRT(22.5*K58*K59)</f>
        <v>46.4470876835751</v>
      </c>
      <c r="M60" s="6"/>
    </row>
    <row r="61" customFormat="false" ht="15" hidden="false" customHeight="false" outlineLevel="0" collapsed="false">
      <c r="G61" s="33" t="s">
        <v>99</v>
      </c>
      <c r="H61" s="64" t="n">
        <v>6.41</v>
      </c>
      <c r="I61" s="64" t="n">
        <v>5.91</v>
      </c>
      <c r="J61" s="64" t="n">
        <v>5.13</v>
      </c>
      <c r="K61" s="64" t="n">
        <v>5.18</v>
      </c>
      <c r="M61" s="6"/>
    </row>
    <row r="62" customFormat="false" ht="15" hidden="false" customHeight="false" outlineLevel="0" collapsed="false">
      <c r="G62" s="2" t="s">
        <v>76</v>
      </c>
      <c r="H62" s="41" t="n">
        <f aca="false">H25/$B$7/1000</f>
        <v>5</v>
      </c>
      <c r="I62" s="41" t="n">
        <f aca="false">I25/$B$7/1000</f>
        <v>4</v>
      </c>
      <c r="J62" s="41" t="n">
        <f aca="false">J25/$B$7/1000</f>
        <v>4</v>
      </c>
      <c r="K62" s="41" t="n">
        <f aca="false">K25/$B$7/1000</f>
        <v>3.33333333333333</v>
      </c>
      <c r="M62" s="6"/>
    </row>
    <row r="63" customFormat="false" ht="15" hidden="false" customHeight="false" outlineLevel="0" collapsed="false">
      <c r="A63" s="2"/>
      <c r="G63" s="33" t="s">
        <v>75</v>
      </c>
      <c r="H63" s="39" t="n">
        <f aca="false">H58-(B20*0.08/1000/$B$7)</f>
        <v>3.23689955555556</v>
      </c>
      <c r="I63" s="39" t="n">
        <f aca="false">I58-(C20*0.08/1000/$B$7)</f>
        <v>3.29885968253968</v>
      </c>
      <c r="J63" s="39" t="n">
        <f aca="false">J58-(D20*0.08/1000/$B$7)</f>
        <v>3.54801879365079</v>
      </c>
      <c r="K63" s="39" t="n">
        <f aca="false">K58-(E20*0.08/1000/$B$7)</f>
        <v>2.89731834920635</v>
      </c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13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0.671330668189606</v>
      </c>
      <c r="I74" s="6" t="n">
        <f aca="false">I59*$B$7/$B$5</f>
        <v>0.639920045688178</v>
      </c>
      <c r="J74" s="6" t="n">
        <f aca="false">J59*$B$7/$B$5</f>
        <v>0.594802969731582</v>
      </c>
      <c r="K74" s="6" t="n">
        <f aca="false">K59*$B$7/$B$5</f>
        <v>0.598515134209023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0.145675484948711</v>
      </c>
      <c r="I77" s="28" t="n">
        <f aca="false">(I15-I16)/$B$6</f>
        <v>0.146648201966761</v>
      </c>
      <c r="J77" s="28" t="n">
        <f aca="false">(J15-J16)/$B$6</f>
        <v>0.150068434515872</v>
      </c>
      <c r="K77" s="28" t="n">
        <f aca="false">(K15-K16)/$B$6</f>
        <v>0.133866731971225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24.0045045045045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 t="s">
        <v>100</v>
      </c>
      <c r="C1" s="42" t="str">
        <f aca="false">HYPERLINK(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,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)</f>
        <v>http://www.tadawul.com.sa/wps/portal/!ut/p/c1/lYuxDoIwGAYf6f8oIGFUhlpsGrTQ0C6mAxiiFAejr2_dXNSYG--OHEWCv08nf5uW4C_Uk1sdFSpzEBkDT8oEYqf3ZcfWDHURvX3z0DkgMmnaSvIUwF83b0z-ujXTTZ1CsB-3HgKp7TIPZMkVH8tNTi1ZGSP7NbrOXf9Q4_kJk7XmQg!!/dl2/d1/L0lJWm1aaWdwUkEhIS9JRGhBQ0VvQURBVEtBQXdBS2dBTUJLb0FEQWhxQUF3QTRlR1NBQXdPL1lJNTBzbHl0d0EhIS83X04wQ1ZSSTQyMEcxOTEwSUtTUTlVMkEyMEI1L25ld19pbm5lcl9wYWdlLzE!/?symbol=3040&amp;tabOrder=7&amp;companyInfo_statement_type=4&amp;periodShow=0&amp;isXbrl=0</v>
      </c>
      <c r="M1" s="6"/>
    </row>
    <row r="2" customFormat="false" ht="15" hidden="false" customHeight="false" outlineLevel="0" collapsed="false">
      <c r="A2" s="2" t="s">
        <v>101</v>
      </c>
      <c r="C2" s="42" t="str">
        <f aca="false">HYPERLINK("http://content.argaam.com/bd9d5180-f1c0-4eb3-9211-37e6312b5b99.png","http://content.argaam.com/bd9d5180-f1c0-4eb3-9211-37e6312b5b99.png")</f>
        <v>http://content.argaam.com/bd9d5180-f1c0-4eb3-9211-37e6312b5b99.png</v>
      </c>
      <c r="M2" s="6"/>
    </row>
    <row r="3" customFormat="false" ht="15" hidden="false" customHeight="false" outlineLevel="0" collapsed="false">
      <c r="A3" s="2" t="s">
        <v>102</v>
      </c>
      <c r="M3" s="6"/>
    </row>
    <row r="4" customFormat="false" ht="15" hidden="false" customHeight="false" outlineLevel="0" collapsed="false">
      <c r="A4" s="2" t="s">
        <v>103</v>
      </c>
      <c r="M4" s="6"/>
    </row>
    <row r="5" customFormat="false" ht="15" hidden="false" customHeight="false" outlineLevel="0" collapsed="false">
      <c r="A5" s="2" t="s">
        <v>0</v>
      </c>
      <c r="B5" s="55" t="n">
        <v>5084.1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5273904</v>
      </c>
      <c r="M6" s="6"/>
    </row>
    <row r="7" customFormat="false" ht="15" hidden="false" customHeight="false" outlineLevel="0" collapsed="false">
      <c r="A7" s="2" t="s">
        <v>2</v>
      </c>
      <c r="B7" s="66" t="n">
        <v>90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0" t="s">
        <v>3</v>
      </c>
      <c r="B10" s="9" t="n">
        <v>42369</v>
      </c>
      <c r="C10" s="9" t="n">
        <v>42004</v>
      </c>
      <c r="D10" s="9" t="n">
        <v>41639</v>
      </c>
      <c r="E10" s="9" t="n">
        <v>41274</v>
      </c>
      <c r="G10" s="20" t="s">
        <v>4</v>
      </c>
      <c r="H10" s="9" t="n">
        <v>42369</v>
      </c>
      <c r="I10" s="9" t="n">
        <v>42004</v>
      </c>
      <c r="J10" s="9" t="n">
        <v>41639</v>
      </c>
      <c r="K10" s="9" t="n">
        <v>41274</v>
      </c>
      <c r="M10" s="20" t="s">
        <v>96</v>
      </c>
      <c r="N10" s="9" t="n">
        <v>42369</v>
      </c>
      <c r="O10" s="9" t="n">
        <v>42004</v>
      </c>
      <c r="P10" s="9" t="n">
        <v>41639</v>
      </c>
      <c r="Q10" s="9" t="n">
        <v>41274</v>
      </c>
    </row>
    <row r="11" customFormat="false" ht="15" hidden="false" customHeight="false" outlineLevel="0" collapsed="false">
      <c r="A11" s="23" t="s">
        <v>6</v>
      </c>
      <c r="B11" s="12" t="n">
        <v>927976</v>
      </c>
      <c r="C11" s="12" t="n">
        <v>918311</v>
      </c>
      <c r="D11" s="12" t="n">
        <v>886703</v>
      </c>
      <c r="E11" s="12" t="n">
        <v>791467</v>
      </c>
      <c r="G11" s="23" t="s">
        <v>7</v>
      </c>
      <c r="H11" s="12" t="n">
        <v>1023897</v>
      </c>
      <c r="I11" s="12" t="n">
        <v>985688</v>
      </c>
      <c r="J11" s="12" t="n">
        <v>1050609</v>
      </c>
      <c r="K11" s="12" t="n">
        <v>1047914</v>
      </c>
      <c r="M11" s="23" t="s">
        <v>8</v>
      </c>
      <c r="N11" s="12" t="n">
        <v>627435</v>
      </c>
      <c r="O11" s="12" t="n">
        <v>598674</v>
      </c>
      <c r="P11" s="12" t="n">
        <v>620652</v>
      </c>
      <c r="Q11" s="12" t="n">
        <v>560965</v>
      </c>
    </row>
    <row r="12" customFormat="false" ht="15" hidden="false" customHeight="false" outlineLevel="0" collapsed="false">
      <c r="A12" s="23" t="s">
        <v>9</v>
      </c>
      <c r="B12" s="12" t="n">
        <v>222099</v>
      </c>
      <c r="C12" s="12" t="n">
        <v>230213</v>
      </c>
      <c r="D12" s="12" t="n">
        <v>211405</v>
      </c>
      <c r="E12" s="12" t="n">
        <v>210980</v>
      </c>
      <c r="G12" s="23" t="s">
        <v>10</v>
      </c>
      <c r="H12" s="12" t="n">
        <v>394218</v>
      </c>
      <c r="I12" s="12" t="n">
        <v>370341</v>
      </c>
      <c r="J12" s="12" t="n">
        <v>406582</v>
      </c>
      <c r="K12" s="12" t="n">
        <v>433986</v>
      </c>
      <c r="M12" s="23" t="s">
        <v>11</v>
      </c>
      <c r="N12" s="12" t="n">
        <v>76233</v>
      </c>
      <c r="O12" s="12" t="n">
        <v>83545</v>
      </c>
      <c r="P12" s="12" t="n">
        <v>86385</v>
      </c>
      <c r="Q12" s="12" t="n">
        <v>86287</v>
      </c>
    </row>
    <row r="13" customFormat="false" ht="15" hidden="false" customHeight="false" outlineLevel="0" collapsed="false">
      <c r="A13" s="23" t="s">
        <v>12</v>
      </c>
      <c r="B13" s="45"/>
      <c r="C13" s="45"/>
      <c r="D13" s="45"/>
      <c r="E13" s="45" t="n">
        <v>0</v>
      </c>
      <c r="G13" s="23" t="s">
        <v>13</v>
      </c>
      <c r="H13" s="12" t="n">
        <v>629679</v>
      </c>
      <c r="I13" s="12" t="n">
        <v>615347</v>
      </c>
      <c r="J13" s="12" t="n">
        <v>644027</v>
      </c>
      <c r="K13" s="12" t="n">
        <v>613928</v>
      </c>
      <c r="M13" s="23" t="s">
        <v>14</v>
      </c>
      <c r="N13" s="14" t="n">
        <v>-22568</v>
      </c>
      <c r="O13" s="14" t="n">
        <v>-9473</v>
      </c>
      <c r="P13" s="12" t="n">
        <v>5861</v>
      </c>
      <c r="Q13" s="12" t="n">
        <v>3539</v>
      </c>
    </row>
    <row r="14" customFormat="false" ht="15" hidden="false" customHeight="false" outlineLevel="0" collapsed="false">
      <c r="A14" s="23" t="s">
        <v>15</v>
      </c>
      <c r="B14" s="12" t="n">
        <v>900971</v>
      </c>
      <c r="C14" s="12" t="n">
        <v>986109</v>
      </c>
      <c r="D14" s="12" t="n">
        <v>1052178</v>
      </c>
      <c r="E14" s="12" t="n">
        <v>1103664</v>
      </c>
      <c r="G14" s="23" t="s">
        <v>16</v>
      </c>
      <c r="H14" s="12" t="n">
        <v>26046</v>
      </c>
      <c r="I14" s="12" t="n">
        <v>23149</v>
      </c>
      <c r="J14" s="12" t="n">
        <v>14378</v>
      </c>
      <c r="K14" s="12" t="n">
        <v>13168</v>
      </c>
      <c r="M14" s="23" t="s">
        <v>9</v>
      </c>
      <c r="N14" s="12" t="n">
        <v>3330</v>
      </c>
      <c r="O14" s="14" t="n">
        <v>-18801</v>
      </c>
      <c r="P14" s="14" t="n">
        <v>-847</v>
      </c>
      <c r="Q14" s="14" t="n">
        <v>-23398</v>
      </c>
    </row>
    <row r="15" customFormat="false" ht="15" hidden="false" customHeight="false" outlineLevel="0" collapsed="false">
      <c r="A15" s="23" t="s">
        <v>17</v>
      </c>
      <c r="B15" s="12" t="n">
        <v>62161</v>
      </c>
      <c r="C15" s="12" t="n">
        <v>48199</v>
      </c>
      <c r="D15" s="12" t="n">
        <v>42985</v>
      </c>
      <c r="E15" s="12" t="n">
        <v>50932</v>
      </c>
      <c r="G15" s="23" t="s">
        <v>18</v>
      </c>
      <c r="H15" s="12" t="n">
        <v>655725</v>
      </c>
      <c r="I15" s="12" t="n">
        <v>638496</v>
      </c>
      <c r="J15" s="12" t="n">
        <v>658405</v>
      </c>
      <c r="K15" s="12" t="n">
        <v>627096</v>
      </c>
      <c r="M15" s="23" t="s">
        <v>19</v>
      </c>
      <c r="N15" s="17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20</v>
      </c>
      <c r="B16" s="12" t="n">
        <v>2113207</v>
      </c>
      <c r="C16" s="12" t="n">
        <v>2182832</v>
      </c>
      <c r="D16" s="12" t="n">
        <v>2193271</v>
      </c>
      <c r="E16" s="12" t="n">
        <v>2157043</v>
      </c>
      <c r="G16" s="23" t="s">
        <v>21</v>
      </c>
      <c r="H16" s="12" t="n">
        <v>28290</v>
      </c>
      <c r="I16" s="12" t="n">
        <v>39822</v>
      </c>
      <c r="J16" s="12" t="n">
        <v>37754</v>
      </c>
      <c r="K16" s="12" t="n">
        <v>34185</v>
      </c>
      <c r="M16" s="23" t="s">
        <v>22</v>
      </c>
      <c r="N16" s="12" t="n">
        <v>6416</v>
      </c>
      <c r="O16" s="12" t="n">
        <v>1196</v>
      </c>
      <c r="P16" s="12" t="n">
        <v>5176</v>
      </c>
      <c r="Q16" s="12" t="n">
        <v>1317</v>
      </c>
    </row>
    <row r="17" customFormat="false" ht="15" hidden="false" customHeight="false" outlineLevel="0" collapsed="false">
      <c r="A17" s="23" t="s">
        <v>23</v>
      </c>
      <c r="B17" s="12" t="n">
        <v>197166</v>
      </c>
      <c r="C17" s="12" t="n">
        <v>178582</v>
      </c>
      <c r="D17" s="12" t="n">
        <v>169175</v>
      </c>
      <c r="E17" s="12" t="n">
        <v>155990</v>
      </c>
      <c r="G17" s="23" t="s">
        <v>11</v>
      </c>
      <c r="H17" s="17"/>
      <c r="I17" s="17"/>
      <c r="J17" s="17"/>
      <c r="K17" s="17" t="n">
        <v>0</v>
      </c>
      <c r="M17" s="23" t="s">
        <v>24</v>
      </c>
      <c r="N17" s="14" t="n">
        <v>-35067</v>
      </c>
      <c r="O17" s="14" t="n">
        <v>-43127</v>
      </c>
      <c r="P17" s="14" t="n">
        <v>-35176</v>
      </c>
      <c r="Q17" s="14" t="n">
        <v>-84622</v>
      </c>
    </row>
    <row r="18" customFormat="false" ht="15" hidden="false" customHeight="false" outlineLevel="0" collapsed="false">
      <c r="A18" s="23" t="s">
        <v>25</v>
      </c>
      <c r="B18" s="45"/>
      <c r="C18" s="45"/>
      <c r="D18" s="45"/>
      <c r="E18" s="17" t="n">
        <v>0</v>
      </c>
      <c r="G18" s="23" t="s">
        <v>26</v>
      </c>
      <c r="H18" s="17"/>
      <c r="I18" s="17"/>
      <c r="J18" s="17"/>
      <c r="K18" s="17" t="n">
        <v>0</v>
      </c>
      <c r="M18" s="23" t="s">
        <v>27</v>
      </c>
      <c r="N18" s="14" t="n">
        <v>-40845</v>
      </c>
      <c r="O18" s="14" t="n">
        <v>-25742</v>
      </c>
      <c r="P18" s="14" t="n">
        <v>-29956</v>
      </c>
      <c r="Q18" s="14" t="n">
        <v>-8811</v>
      </c>
    </row>
    <row r="19" customFormat="false" ht="15" hidden="false" customHeight="false" outlineLevel="0" collapsed="false">
      <c r="A19" s="23" t="s">
        <v>28</v>
      </c>
      <c r="B19" s="12" t="n">
        <v>32452</v>
      </c>
      <c r="C19" s="12" t="n">
        <v>30296</v>
      </c>
      <c r="D19" s="12" t="n">
        <v>28258</v>
      </c>
      <c r="E19" s="12" t="n">
        <v>26129</v>
      </c>
      <c r="G19" s="23" t="s">
        <v>29</v>
      </c>
      <c r="H19" s="12" t="n">
        <v>28290</v>
      </c>
      <c r="I19" s="12" t="n">
        <v>39822</v>
      </c>
      <c r="J19" s="12" t="n">
        <v>37754</v>
      </c>
      <c r="K19" s="12" t="n">
        <v>34185</v>
      </c>
      <c r="M19" s="23" t="s">
        <v>30</v>
      </c>
      <c r="N19" s="12" t="n">
        <v>86177</v>
      </c>
      <c r="O19" s="14" t="n">
        <v>-159776</v>
      </c>
      <c r="P19" s="12" t="n">
        <v>93606</v>
      </c>
      <c r="Q19" s="14" t="n">
        <v>-211357</v>
      </c>
    </row>
    <row r="20" customFormat="false" ht="15" hidden="false" customHeight="false" outlineLevel="0" collapsed="false">
      <c r="A20" s="23" t="s">
        <v>31</v>
      </c>
      <c r="B20" s="12" t="n">
        <v>1883589</v>
      </c>
      <c r="C20" s="12" t="n">
        <v>1973954</v>
      </c>
      <c r="D20" s="12" t="n">
        <v>1997144</v>
      </c>
      <c r="E20" s="12" t="n">
        <v>1974924</v>
      </c>
      <c r="G20" s="23" t="s">
        <v>32</v>
      </c>
      <c r="H20" s="12" t="n">
        <v>627435</v>
      </c>
      <c r="I20" s="12" t="n">
        <v>598674</v>
      </c>
      <c r="J20" s="12" t="n">
        <v>620651</v>
      </c>
      <c r="K20" s="12" t="n">
        <v>592911</v>
      </c>
      <c r="M20" s="23" t="s">
        <v>33</v>
      </c>
      <c r="N20" s="17"/>
      <c r="O20" s="17"/>
      <c r="P20" s="17"/>
      <c r="Q20" s="17"/>
    </row>
    <row r="21" customFormat="false" ht="15" hidden="false" customHeight="false" outlineLevel="0" collapsed="false">
      <c r="A21" s="23" t="s">
        <v>34</v>
      </c>
      <c r="B21" s="17"/>
      <c r="C21" s="17"/>
      <c r="D21" s="14" t="n">
        <v>-1306</v>
      </c>
      <c r="E21" s="17"/>
      <c r="G21" s="23" t="s">
        <v>35</v>
      </c>
      <c r="H21" s="12" t="n">
        <v>41000</v>
      </c>
      <c r="I21" s="12" t="n">
        <v>35064</v>
      </c>
      <c r="J21" s="12" t="n">
        <v>35646</v>
      </c>
      <c r="K21" s="12" t="n">
        <v>31946</v>
      </c>
      <c r="M21" s="23" t="s">
        <v>36</v>
      </c>
      <c r="N21" s="14" t="n">
        <v>-684331</v>
      </c>
      <c r="O21" s="14" t="n">
        <v>-573070</v>
      </c>
      <c r="P21" s="14" t="n">
        <v>-605148</v>
      </c>
      <c r="Q21" s="14" t="n">
        <v>-536802</v>
      </c>
    </row>
    <row r="22" customFormat="false" ht="15" hidden="false" customHeight="false" outlineLevel="0" collapsed="false">
      <c r="A22" s="23" t="s">
        <v>37</v>
      </c>
      <c r="B22" s="12" t="n">
        <v>2113207</v>
      </c>
      <c r="C22" s="12" t="n">
        <v>2182832</v>
      </c>
      <c r="D22" s="12" t="n">
        <v>2193271</v>
      </c>
      <c r="E22" s="12" t="n">
        <v>2157043</v>
      </c>
      <c r="G22" s="23" t="s">
        <v>8</v>
      </c>
      <c r="H22" s="12" t="n">
        <v>586435</v>
      </c>
      <c r="I22" s="12" t="n">
        <v>563610</v>
      </c>
      <c r="J22" s="12" t="n">
        <v>585005</v>
      </c>
      <c r="K22" s="12" t="n">
        <v>560965</v>
      </c>
      <c r="M22" s="23" t="s">
        <v>38</v>
      </c>
      <c r="N22" s="12" t="n">
        <v>23034</v>
      </c>
      <c r="O22" s="12" t="n">
        <v>172396</v>
      </c>
      <c r="P22" s="12" t="n">
        <v>31843</v>
      </c>
      <c r="Q22" s="12" t="n">
        <v>244725</v>
      </c>
    </row>
    <row r="23" customFormat="false" ht="15" hidden="false" customHeight="false" outlineLevel="0" collapsed="false">
      <c r="G23" s="23" t="s">
        <v>39</v>
      </c>
      <c r="H23" s="12" t="n">
        <v>290650</v>
      </c>
      <c r="I23" s="12" t="n">
        <v>565984</v>
      </c>
      <c r="J23" s="12" t="n">
        <v>453580</v>
      </c>
      <c r="K23" s="12" t="n">
        <v>490394</v>
      </c>
      <c r="M23" s="23" t="s">
        <v>40</v>
      </c>
      <c r="N23" s="12" t="n">
        <v>39814</v>
      </c>
      <c r="O23" s="12" t="n">
        <v>25822</v>
      </c>
      <c r="P23" s="12" t="n">
        <v>172396</v>
      </c>
      <c r="Q23" s="12" t="n">
        <v>31843</v>
      </c>
    </row>
    <row r="24" customFormat="false" ht="15" hidden="false" customHeight="false" outlineLevel="0" collapsed="false">
      <c r="G24" s="23" t="s">
        <v>41</v>
      </c>
      <c r="H24" s="12" t="n">
        <v>58644</v>
      </c>
      <c r="I24" s="12" t="n">
        <v>56361</v>
      </c>
      <c r="J24" s="12" t="n">
        <v>58501</v>
      </c>
      <c r="K24" s="12" t="n">
        <v>56096</v>
      </c>
      <c r="M24" s="2" t="s">
        <v>42</v>
      </c>
      <c r="N24" s="12" t="n">
        <f aca="false">SUM(N11:N17)</f>
        <v>655779</v>
      </c>
      <c r="O24" s="12" t="n">
        <f aca="false">SUM(O11:O17)</f>
        <v>612014</v>
      </c>
      <c r="P24" s="12" t="n">
        <f aca="false">SUM(P11:P17)</f>
        <v>682051</v>
      </c>
      <c r="Q24" s="12" t="n">
        <f aca="false">SUM(Q11:Q17)</f>
        <v>544088</v>
      </c>
    </row>
    <row r="25" customFormat="false" ht="15" hidden="false" customHeight="false" outlineLevel="0" collapsed="false">
      <c r="G25" s="23" t="s">
        <v>43</v>
      </c>
      <c r="H25" s="12" t="n">
        <v>562500</v>
      </c>
      <c r="I25" s="12" t="n">
        <v>585000</v>
      </c>
      <c r="J25" s="12" t="n">
        <v>562500</v>
      </c>
      <c r="K25" s="12" t="n">
        <v>540000</v>
      </c>
      <c r="M25" s="2" t="s">
        <v>44</v>
      </c>
      <c r="N25" s="12" t="n">
        <f aca="false">N18+N19</f>
        <v>45332</v>
      </c>
      <c r="O25" s="12" t="n">
        <f aca="false">O18+O19</f>
        <v>-185518</v>
      </c>
      <c r="P25" s="12" t="n">
        <f aca="false">P18+P19</f>
        <v>63650</v>
      </c>
      <c r="Q25" s="12" t="n">
        <f aca="false">Q18+Q19</f>
        <v>-220168</v>
      </c>
    </row>
    <row r="26" customFormat="false" ht="15" hidden="false" customHeight="false" outlineLevel="0" collapsed="false">
      <c r="G26" s="23" t="s">
        <v>45</v>
      </c>
      <c r="H26" s="12" t="n">
        <v>1800</v>
      </c>
      <c r="I26" s="12" t="n">
        <v>224216</v>
      </c>
      <c r="J26" s="12" t="n">
        <v>148400</v>
      </c>
      <c r="K26" s="12" t="n">
        <v>1683</v>
      </c>
      <c r="M26" s="2" t="s">
        <v>46</v>
      </c>
      <c r="N26" s="12" t="n">
        <f aca="false">N20+N21</f>
        <v>-684331</v>
      </c>
      <c r="O26" s="12" t="n">
        <f aca="false">O20+O21</f>
        <v>-573070</v>
      </c>
      <c r="P26" s="12" t="n">
        <f aca="false">P20+P21</f>
        <v>-605148</v>
      </c>
      <c r="Q26" s="12" t="n">
        <f aca="false">Q20+Q21</f>
        <v>-536802</v>
      </c>
    </row>
    <row r="27" customFormat="false" ht="15" hidden="false" customHeight="false" outlineLevel="0" collapsed="false">
      <c r="G27" s="23" t="s">
        <v>47</v>
      </c>
      <c r="H27" s="12" t="n">
        <v>254141</v>
      </c>
      <c r="I27" s="12" t="n">
        <v>712449</v>
      </c>
      <c r="J27" s="12" t="n">
        <v>565984</v>
      </c>
      <c r="K27" s="12" t="n">
        <v>453580</v>
      </c>
      <c r="M27" s="2" t="s">
        <v>48</v>
      </c>
      <c r="N27" s="12" t="n">
        <f aca="false">N24+N25+N26</f>
        <v>16780</v>
      </c>
      <c r="O27" s="12" t="n">
        <f aca="false">O24+O25+O26</f>
        <v>-146574</v>
      </c>
      <c r="P27" s="12" t="n">
        <f aca="false">P24+P25+P26</f>
        <v>140553</v>
      </c>
      <c r="Q27" s="12" t="n">
        <f aca="false">Q24+Q25+Q26</f>
        <v>-212882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0.439131613703721</v>
      </c>
      <c r="C30" s="24" t="n">
        <f aca="false">C11/C$16</f>
        <v>0.420697057767158</v>
      </c>
      <c r="D30" s="24" t="n">
        <f aca="false">D11/D$16</f>
        <v>0.404283374010781</v>
      </c>
      <c r="E30" s="24" t="n">
        <f aca="false">E11/E$16</f>
        <v>0.366922217127799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0.612791130357839</v>
      </c>
      <c r="O30" s="26" t="n">
        <f aca="false">O11/I$11</f>
        <v>0.607366631226108</v>
      </c>
      <c r="P30" s="26" t="n">
        <f aca="false">P11/J$11</f>
        <v>0.590754505244101</v>
      </c>
      <c r="Q30" s="26" t="n">
        <f aca="false">Q11/K$11</f>
        <v>0.535315875157694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0.105100446856366</v>
      </c>
      <c r="C31" s="24" t="n">
        <f aca="false">C12/C$16</f>
        <v>0.105465285464021</v>
      </c>
      <c r="D31" s="24" t="n">
        <f aca="false">D12/D$16</f>
        <v>0.0963879976528208</v>
      </c>
      <c r="E31" s="24" t="n">
        <f aca="false">E12/E$16</f>
        <v>0.0978098257661067</v>
      </c>
      <c r="F31" s="6"/>
      <c r="G31" s="25" t="s">
        <v>10</v>
      </c>
      <c r="H31" s="24" t="n">
        <f aca="false">H12/H$11</f>
        <v>0.385017242945335</v>
      </c>
      <c r="I31" s="24" t="n">
        <f aca="false">I12/I$11</f>
        <v>0.375718280023699</v>
      </c>
      <c r="J31" s="24" t="n">
        <f aca="false">J12/J$11</f>
        <v>0.386996494414192</v>
      </c>
      <c r="K31" s="24" t="n">
        <f aca="false">K12/K$11</f>
        <v>0.414142763623732</v>
      </c>
      <c r="L31" s="6"/>
      <c r="M31" s="25" t="s">
        <v>11</v>
      </c>
      <c r="N31" s="26" t="n">
        <f aca="false">N12/H$11</f>
        <v>0.0744537780655671</v>
      </c>
      <c r="O31" s="26" t="n">
        <f aca="false">O12/I$11</f>
        <v>0.084758057316311</v>
      </c>
      <c r="P31" s="26" t="n">
        <f aca="false">P12/J$11</f>
        <v>0.0822237388029229</v>
      </c>
      <c r="Q31" s="26" t="n">
        <f aca="false">Q12/K$11</f>
        <v>0.08234168071044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0.614982757054665</v>
      </c>
      <c r="I32" s="24" t="n">
        <f aca="false">I13/I$11</f>
        <v>0.624281719976301</v>
      </c>
      <c r="J32" s="24" t="n">
        <f aca="false">J13/J$11</f>
        <v>0.613003505585808</v>
      </c>
      <c r="K32" s="24" t="n">
        <f aca="false">K13/K$11</f>
        <v>0.585857236376268</v>
      </c>
      <c r="L32" s="6"/>
      <c r="M32" s="25" t="s">
        <v>14</v>
      </c>
      <c r="N32" s="26" t="n">
        <f aca="false">N13/H$11</f>
        <v>-0.0220412795427665</v>
      </c>
      <c r="O32" s="26" t="n">
        <f aca="false">O13/I$11</f>
        <v>-0.00961054613630277</v>
      </c>
      <c r="P32" s="26" t="n">
        <f aca="false">P13/J$11</f>
        <v>0.00557866913380715</v>
      </c>
      <c r="Q32" s="26" t="n">
        <f aca="false">Q13/K$11</f>
        <v>0.00337718553240056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0.426352458609119</v>
      </c>
      <c r="C33" s="24" t="n">
        <f aca="false">C14/C$16</f>
        <v>0.451756708716017</v>
      </c>
      <c r="D33" s="24" t="n">
        <f aca="false">D14/D$16</f>
        <v>0.479730047039331</v>
      </c>
      <c r="E33" s="24" t="n">
        <f aca="false">E14/E$16</f>
        <v>0.511656003148755</v>
      </c>
      <c r="F33" s="6"/>
      <c r="G33" s="25" t="s">
        <v>16</v>
      </c>
      <c r="H33" s="24" t="n">
        <f aca="false">H14/H$11</f>
        <v>0.0254381055906991</v>
      </c>
      <c r="I33" s="24" t="n">
        <f aca="false">I14/I$11</f>
        <v>0.0234851190234638</v>
      </c>
      <c r="J33" s="24" t="n">
        <f aca="false">J14/J$11</f>
        <v>0.0136853958037671</v>
      </c>
      <c r="K33" s="24" t="n">
        <f aca="false">K14/K$11</f>
        <v>0.0125659166687343</v>
      </c>
      <c r="L33" s="6"/>
      <c r="M33" s="25" t="s">
        <v>9</v>
      </c>
      <c r="N33" s="26" t="n">
        <f aca="false">N14/H$11</f>
        <v>0.00325228025865883</v>
      </c>
      <c r="O33" s="26" t="n">
        <f aca="false">O14/I$11</f>
        <v>-0.0190739869005202</v>
      </c>
      <c r="P33" s="26" t="n">
        <f aca="false">P14/J$11</f>
        <v>-0.000806199071205367</v>
      </c>
      <c r="Q33" s="26" t="n">
        <f aca="false">Q14/K$11</f>
        <v>-0.0223281681512032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0.0294154808307941</v>
      </c>
      <c r="C34" s="24" t="n">
        <f aca="false">C15/C$16</f>
        <v>0.0220809480528048</v>
      </c>
      <c r="D34" s="24" t="n">
        <f aca="false">D15/D$16</f>
        <v>0.0195985812970673</v>
      </c>
      <c r="E34" s="24" t="n">
        <f aca="false">E15/E$16</f>
        <v>0.0236119539573388</v>
      </c>
      <c r="F34" s="6"/>
      <c r="G34" s="25" t="s">
        <v>18</v>
      </c>
      <c r="H34" s="24" t="n">
        <f aca="false">H15/H$11</f>
        <v>0.640420862645364</v>
      </c>
      <c r="I34" s="24" t="n">
        <f aca="false">I15/I$11</f>
        <v>0.647766838999765</v>
      </c>
      <c r="J34" s="24" t="n">
        <f aca="false">J15/J$11</f>
        <v>0.626688901389575</v>
      </c>
      <c r="K34" s="24" t="n">
        <f aca="false">K15/K$11</f>
        <v>0.598423153045002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0.027629732287525</v>
      </c>
      <c r="I35" s="24" t="n">
        <f aca="false">I16/I$11</f>
        <v>0.0404002077736566</v>
      </c>
      <c r="J35" s="24" t="n">
        <f aca="false">J16/J$11</f>
        <v>0.0359353479743653</v>
      </c>
      <c r="K35" s="24" t="n">
        <f aca="false">K16/K$11</f>
        <v>0.0326219518013883</v>
      </c>
      <c r="L35" s="6"/>
      <c r="M35" s="25" t="s">
        <v>22</v>
      </c>
      <c r="N35" s="26" t="n">
        <f aca="false">N16/H$11</f>
        <v>0.00626625529716368</v>
      </c>
      <c r="O35" s="26" t="n">
        <f aca="false">O16/I$11</f>
        <v>0.00121336568975173</v>
      </c>
      <c r="P35" s="26" t="n">
        <f aca="false">P16/J$11</f>
        <v>0.00492666634304484</v>
      </c>
      <c r="Q35" s="26" t="n">
        <f aca="false">Q16/K$11</f>
        <v>0.00125678252222988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0.0933017920156426</v>
      </c>
      <c r="C36" s="24" t="n">
        <f aca="false">C17/C$16</f>
        <v>0.0818120679924062</v>
      </c>
      <c r="D36" s="24" t="n">
        <f aca="false">D17/D$16</f>
        <v>0.0771336510627278</v>
      </c>
      <c r="E36" s="24" t="n">
        <f aca="false">E17/E$16</f>
        <v>0.07231659266876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-0.034248562111228</v>
      </c>
      <c r="O36" s="26" t="n">
        <f aca="false">O17/I$11</f>
        <v>-0.0437531957373936</v>
      </c>
      <c r="P36" s="26" t="n">
        <f aca="false">P17/J$11</f>
        <v>-0.0334815330917592</v>
      </c>
      <c r="Q36" s="26" t="n">
        <f aca="false">Q17/K$11</f>
        <v>-0.0807528098679853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</v>
      </c>
      <c r="C37" s="24" t="n">
        <f aca="false">C18/C$16</f>
        <v>0</v>
      </c>
      <c r="D37" s="24" t="n">
        <f aca="false">D18/D$16</f>
        <v>0</v>
      </c>
      <c r="E37" s="24" t="n">
        <f aca="false">E18/E$16</f>
        <v>0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-0.0398917078573333</v>
      </c>
      <c r="O37" s="26" t="n">
        <f aca="false">O18/I$11</f>
        <v>-0.0261157688842717</v>
      </c>
      <c r="P37" s="26" t="n">
        <f aca="false">P18/J$11</f>
        <v>-0.0285129862774829</v>
      </c>
      <c r="Q37" s="26" t="n">
        <f aca="false">Q18/K$11</f>
        <v>-0.00840813272844909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0.0153567539763024</v>
      </c>
      <c r="C38" s="24" t="n">
        <f aca="false">C19/C$16</f>
        <v>0.013879217456955</v>
      </c>
      <c r="D38" s="24" t="n">
        <f aca="false">D19/D$16</f>
        <v>0.0128839527810289</v>
      </c>
      <c r="E38" s="24" t="n">
        <f aca="false">E19/E$16</f>
        <v>0.0121133422004105</v>
      </c>
      <c r="F38" s="6"/>
      <c r="G38" s="25" t="s">
        <v>29</v>
      </c>
      <c r="H38" s="24" t="n">
        <f aca="false">H19/H$11</f>
        <v>0.027629732287525</v>
      </c>
      <c r="I38" s="24" t="n">
        <f aca="false">I19/I$11</f>
        <v>0.0404002077736566</v>
      </c>
      <c r="J38" s="24" t="n">
        <f aca="false">J19/J$11</f>
        <v>0.0359353479743653</v>
      </c>
      <c r="K38" s="24" t="n">
        <f aca="false">K19/K$11</f>
        <v>0.0326219518013883</v>
      </c>
      <c r="L38" s="6"/>
      <c r="M38" s="25" t="s">
        <v>30</v>
      </c>
      <c r="N38" s="26" t="n">
        <f aca="false">N19/H$11</f>
        <v>0.0841656924475802</v>
      </c>
      <c r="O38" s="26" t="n">
        <f aca="false">O19/I$11</f>
        <v>-0.162095916760679</v>
      </c>
      <c r="P38" s="26" t="n">
        <f aca="false">P19/J$11</f>
        <v>0.0890968952293384</v>
      </c>
      <c r="Q38" s="26" t="n">
        <f aca="false">Q19/K$11</f>
        <v>-0.201693077867077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0.891341454008055</v>
      </c>
      <c r="C39" s="24" t="n">
        <f aca="false">C20/C$16</f>
        <v>0.904308714550639</v>
      </c>
      <c r="D39" s="24" t="n">
        <f aca="false">D20/D$16</f>
        <v>0.910577853808307</v>
      </c>
      <c r="E39" s="24" t="n">
        <f aca="false">E20/E$16</f>
        <v>0.91557006513083</v>
      </c>
      <c r="F39" s="6"/>
      <c r="G39" s="25" t="s">
        <v>32</v>
      </c>
      <c r="H39" s="24" t="n">
        <f aca="false">H20/H$11</f>
        <v>0.612791130357839</v>
      </c>
      <c r="I39" s="24" t="n">
        <f aca="false">I20/I$11</f>
        <v>0.607366631226108</v>
      </c>
      <c r="J39" s="24" t="n">
        <f aca="false">J20/J$11</f>
        <v>0.59075355341521</v>
      </c>
      <c r="K39" s="24" t="n">
        <f aca="false">K20/K$11</f>
        <v>0.565801201243614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-0.000595457652063972</v>
      </c>
      <c r="E40" s="24" t="n">
        <f aca="false">E21/E$16</f>
        <v>0</v>
      </c>
      <c r="F40" s="6"/>
      <c r="G40" s="25" t="s">
        <v>35</v>
      </c>
      <c r="H40" s="24" t="n">
        <f aca="false">H21/H$11</f>
        <v>0.0400430902717754</v>
      </c>
      <c r="I40" s="24" t="n">
        <f aca="false">I21/I$11</f>
        <v>0.0355731225296443</v>
      </c>
      <c r="J40" s="24" t="n">
        <f aca="false">J21/J$11</f>
        <v>0.0339288926708224</v>
      </c>
      <c r="K40" s="24" t="n">
        <f aca="false">K21/K$11</f>
        <v>0.0304853260859193</v>
      </c>
      <c r="L40" s="6"/>
      <c r="M40" s="25" t="s">
        <v>36</v>
      </c>
      <c r="N40" s="26" t="n">
        <f aca="false">N21/H$11</f>
        <v>-0.668359219726203</v>
      </c>
      <c r="O40" s="26" t="n">
        <f aca="false">O21/I$11</f>
        <v>-0.581390866075269</v>
      </c>
      <c r="P40" s="26" t="n">
        <f aca="false">P21/J$11</f>
        <v>-0.575997350108366</v>
      </c>
      <c r="Q40" s="26" t="n">
        <f aca="false">Q21/K$11</f>
        <v>-0.512257685268066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0.572748040086063</v>
      </c>
      <c r="I41" s="24" t="n">
        <f aca="false">I22/I$11</f>
        <v>0.571793508696464</v>
      </c>
      <c r="J41" s="24" t="n">
        <f aca="false">J22/J$11</f>
        <v>0.556824660744387</v>
      </c>
      <c r="K41" s="24" t="n">
        <f aca="false">K22/K$11</f>
        <v>0.535315875157694</v>
      </c>
      <c r="L41" s="6"/>
      <c r="M41" s="25" t="s">
        <v>38</v>
      </c>
      <c r="N41" s="26" t="n">
        <f aca="false">N22/H$11</f>
        <v>0.0224964034468311</v>
      </c>
      <c r="O41" s="26" t="n">
        <f aca="false">O22/I$11</f>
        <v>0.174899156731136</v>
      </c>
      <c r="P41" s="26" t="n">
        <f aca="false">P22/J$11</f>
        <v>0.030309087395977</v>
      </c>
      <c r="Q41" s="26" t="n">
        <f aca="false">Q22/K$11</f>
        <v>0.233535385537363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0.283866443597354</v>
      </c>
      <c r="I42" s="24" t="n">
        <f aca="false">I23/I$11</f>
        <v>0.574201978719433</v>
      </c>
      <c r="J42" s="24" t="n">
        <f aca="false">J23/J$11</f>
        <v>0.431730548662728</v>
      </c>
      <c r="K42" s="24" t="n">
        <f aca="false">K23/K$11</f>
        <v>0.467971608357174</v>
      </c>
      <c r="L42" s="6"/>
      <c r="M42" s="25" t="s">
        <v>40</v>
      </c>
      <c r="N42" s="26" t="n">
        <f aca="false">N23/H$11</f>
        <v>0.0388847706361089</v>
      </c>
      <c r="O42" s="26" t="n">
        <f aca="false">O23/I$11</f>
        <v>0.0261969304688705</v>
      </c>
      <c r="P42" s="26" t="n">
        <f aca="false">P23/J$11</f>
        <v>0.164091493600378</v>
      </c>
      <c r="Q42" s="26" t="n">
        <f aca="false">Q23/K$11</f>
        <v>0.030387035577347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0.0572752923389755</v>
      </c>
      <c r="I43" s="24" t="n">
        <f aca="false">I24/I$11</f>
        <v>0.0571793508696464</v>
      </c>
      <c r="J43" s="24" t="n">
        <f aca="false">J24/J$11</f>
        <v>0.0556829419888845</v>
      </c>
      <c r="K43" s="24" t="n">
        <f aca="false">K24/K$11</f>
        <v>0.0535311103773783</v>
      </c>
      <c r="L43" s="6"/>
      <c r="M43" s="2" t="s">
        <v>49</v>
      </c>
      <c r="N43" s="26" t="n">
        <f aca="false">N24/H11</f>
        <v>0.640473602325234</v>
      </c>
      <c r="O43" s="26" t="n">
        <f aca="false">O24/I11</f>
        <v>0.620900325457954</v>
      </c>
      <c r="P43" s="26" t="n">
        <f aca="false">P24/J11</f>
        <v>0.649195847360912</v>
      </c>
      <c r="Q43" s="26" t="n">
        <f aca="false">Q24/K11</f>
        <v>0.519210545903576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0.549371665313991</v>
      </c>
      <c r="I44" s="24" t="n">
        <f aca="false">I25/I$11</f>
        <v>0.593494087378562</v>
      </c>
      <c r="J44" s="24" t="n">
        <f aca="false">J25/J$11</f>
        <v>0.535403751538393</v>
      </c>
      <c r="K44" s="24" t="n">
        <f aca="false">K25/K$11</f>
        <v>0.515309462417717</v>
      </c>
      <c r="L44" s="6"/>
      <c r="M44" s="2" t="s">
        <v>50</v>
      </c>
      <c r="N44" s="26" t="n">
        <f aca="false">N24/B16</f>
        <v>0.310324071423197</v>
      </c>
      <c r="O44" s="26" t="n">
        <f aca="false">O24/C16</f>
        <v>0.2803761352225</v>
      </c>
      <c r="P44" s="26" t="n">
        <f aca="false">P24/D16</f>
        <v>0.31097433924034</v>
      </c>
      <c r="Q44" s="26" t="n">
        <f aca="false">Q24/E16</f>
        <v>0.252237901608823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0.00175798932900477</v>
      </c>
      <c r="I45" s="24" t="n">
        <f aca="false">I26/I$11</f>
        <v>0.227471573154994</v>
      </c>
      <c r="J45" s="24" t="n">
        <f aca="false">J26/J$11</f>
        <v>0.141251407516973</v>
      </c>
      <c r="K45" s="24" t="n">
        <f aca="false">K26/K$11</f>
        <v>0.00160604782453522</v>
      </c>
      <c r="L45" s="6"/>
      <c r="M45" s="2" t="s">
        <v>51</v>
      </c>
      <c r="N45" s="26" t="n">
        <f aca="false">N24/B20</f>
        <v>0.348153976265523</v>
      </c>
      <c r="O45" s="26" t="n">
        <f aca="false">O24/C20</f>
        <v>0.310044712288128</v>
      </c>
      <c r="P45" s="26" t="n">
        <f aca="false">P24/D20</f>
        <v>0.341513180822214</v>
      </c>
      <c r="Q45" s="26" t="n">
        <f aca="false">Q24/E20</f>
        <v>0.275498196386291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0.248209536701446</v>
      </c>
      <c r="I46" s="24" t="n">
        <f aca="false">I27/I$11</f>
        <v>0.722793622322682</v>
      </c>
      <c r="J46" s="24" t="n">
        <f aca="false">J27/J$11</f>
        <v>0.538719923396811</v>
      </c>
      <c r="K46" s="24" t="n">
        <f aca="false">K27/K$11</f>
        <v>0.432840862895238</v>
      </c>
      <c r="L46" s="6"/>
      <c r="M46" s="2" t="s">
        <v>52</v>
      </c>
      <c r="N46" s="26" t="n">
        <f aca="false">N24/H22</f>
        <v>1.11824669400701</v>
      </c>
      <c r="O46" s="26" t="n">
        <f aca="false">O24/I22</f>
        <v>1.08588208158124</v>
      </c>
      <c r="P46" s="26" t="n">
        <f aca="false">P24/J22</f>
        <v>1.16588918043436</v>
      </c>
      <c r="Q46" s="26" t="n">
        <f aca="false">Q24/K22</f>
        <v>0.969914344032159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2.8559564145668</v>
      </c>
      <c r="O47" s="26" t="n">
        <f aca="false">O24/(C22-C20)</f>
        <v>2.93000698972606</v>
      </c>
      <c r="P47" s="26" t="n">
        <f aca="false">P24/(D22-D20)</f>
        <v>3.47759869880231</v>
      </c>
      <c r="Q47" s="26" t="n">
        <f aca="false">Q24/(E22-E20)</f>
        <v>2.98754111322816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1.16582933333333</v>
      </c>
      <c r="O48" s="26" t="n">
        <f aca="false">O24/I25</f>
        <v>1.04617777777778</v>
      </c>
      <c r="P48" s="26" t="n">
        <f aca="false">P24/J25</f>
        <v>1.21253511111111</v>
      </c>
      <c r="Q48" s="26" t="n">
        <f aca="false">Q24/K25</f>
        <v>1.00757037037037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16.0553066470804</v>
      </c>
      <c r="O49" s="26" t="n">
        <f aca="false">O24/(O18*-1)</f>
        <v>23.7749203636081</v>
      </c>
      <c r="P49" s="26" t="n">
        <f aca="false">P24/(P18*-1)</f>
        <v>22.7684270263052</v>
      </c>
      <c r="Q49" s="26" t="n">
        <f aca="false">Q24/(Q18*-1)</f>
        <v>61.7509930768358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0.0230238293924609</v>
      </c>
      <c r="I50" s="28" t="n">
        <f aca="false">LN(I13/J13)</f>
        <v>-0.045554314359117</v>
      </c>
      <c r="J50" s="28" t="n">
        <f aca="false">LN(J13/K13)</f>
        <v>0.0478629932637921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4.70657212704016</v>
      </c>
      <c r="C51" s="30" t="n">
        <f aca="false">C11/C17</f>
        <v>5.14223717955897</v>
      </c>
      <c r="D51" s="30" t="n">
        <f aca="false">D11/D17</f>
        <v>5.24133589478351</v>
      </c>
      <c r="E51" s="30" t="n">
        <f aca="false">E11/E17</f>
        <v>5.07383165587538</v>
      </c>
      <c r="G51" s="29" t="s">
        <v>58</v>
      </c>
      <c r="H51" s="31" t="n">
        <f aca="false">H13/H11</f>
        <v>0.614982757054665</v>
      </c>
      <c r="I51" s="31" t="n">
        <f aca="false">I13/I11</f>
        <v>0.624281719976301</v>
      </c>
      <c r="J51" s="31" t="n">
        <f aca="false">J13/J11</f>
        <v>0.613003505585808</v>
      </c>
      <c r="K51" s="31" t="n">
        <f aca="false">K13/K11</f>
        <v>0.585857236376268</v>
      </c>
      <c r="M51" s="2" t="s">
        <v>59</v>
      </c>
      <c r="N51" s="32" t="n">
        <f aca="false">(N11-N24-N25)/B16</f>
        <v>-0.0348645447417125</v>
      </c>
      <c r="O51" s="32" t="n">
        <f aca="false">(O11-O24-O25)/C16</f>
        <v>0.0788782645663981</v>
      </c>
      <c r="P51" s="32" t="n">
        <f aca="false">(P11-P24-P25)/D16</f>
        <v>-0.0570148422151207</v>
      </c>
      <c r="Q51" s="32" t="n">
        <f aca="false">(Q11-Q24-Q25)/E16</f>
        <v>0.109893497718868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0.296911282235957</v>
      </c>
      <c r="C52" s="31" t="n">
        <f aca="false">I20/C16</f>
        <v>0.27426480828575</v>
      </c>
      <c r="D52" s="31" t="n">
        <f aca="false">J20/D16</f>
        <v>0.282979622673167</v>
      </c>
      <c r="E52" s="31" t="n">
        <f aca="false">K20/E16</f>
        <v>0.274872128186596</v>
      </c>
      <c r="F52" s="31"/>
      <c r="G52" s="29" t="s">
        <v>61</v>
      </c>
      <c r="H52" s="31" t="n">
        <f aca="false">H16/H11</f>
        <v>0.027629732287525</v>
      </c>
      <c r="I52" s="31" t="n">
        <f aca="false">I16/I11</f>
        <v>0.0404002077736566</v>
      </c>
      <c r="J52" s="31" t="n">
        <f aca="false">J16/J11</f>
        <v>0.0359353479743653</v>
      </c>
      <c r="K52" s="31" t="n">
        <f aca="false">K16/K11</f>
        <v>0.0326219518013883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0.333106107542569</v>
      </c>
      <c r="C53" s="31" t="n">
        <f aca="false">I20/C20</f>
        <v>0.303286702729648</v>
      </c>
      <c r="D53" s="31" t="n">
        <f aca="false">J20/D20</f>
        <v>0.31076927852974</v>
      </c>
      <c r="E53" s="31" t="n">
        <f aca="false">K20/E20</f>
        <v>0.300219654022129</v>
      </c>
      <c r="G53" s="29" t="s">
        <v>11</v>
      </c>
      <c r="H53" s="31" t="n">
        <f aca="false">H17/H11</f>
        <v>0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4.61009279645563</v>
      </c>
      <c r="C54" s="30" t="n">
        <f aca="false">I11/C12</f>
        <v>4.2816348338278</v>
      </c>
      <c r="D54" s="30" t="n">
        <f aca="false">J11/D12</f>
        <v>4.96965067051394</v>
      </c>
      <c r="E54" s="30" t="n">
        <f aca="false">K11/E12</f>
        <v>4.96688785666888</v>
      </c>
      <c r="G54" s="29" t="s">
        <v>64</v>
      </c>
      <c r="H54" s="31" t="n">
        <f aca="false">H25/H22</f>
        <v>0.959185587490515</v>
      </c>
      <c r="I54" s="31" t="n">
        <f aca="false">I25/I22</f>
        <v>1.03795177516368</v>
      </c>
      <c r="J54" s="31" t="n">
        <f aca="false">J25/J22</f>
        <v>0.961530243331254</v>
      </c>
      <c r="K54" s="31" t="n">
        <f aca="false">K25/K22</f>
        <v>0.962626901856622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0.108658545991945</v>
      </c>
      <c r="C55" s="31" t="n">
        <f aca="false">(C22-C20)/C16</f>
        <v>0.0956912854493612</v>
      </c>
      <c r="D55" s="31" t="n">
        <f aca="false">(D22-D20)/D16</f>
        <v>0.0894221461916927</v>
      </c>
      <c r="E55" s="31" t="n">
        <f aca="false">(E22-E20)/E16</f>
        <v>0.0844299348691704</v>
      </c>
      <c r="G55" s="29" t="s">
        <v>66</v>
      </c>
      <c r="H55" s="31" t="n">
        <f aca="false">H22/H11</f>
        <v>0.572748040086063</v>
      </c>
      <c r="I55" s="31" t="n">
        <f aca="false">I22/I11</f>
        <v>0.571793508696464</v>
      </c>
      <c r="J55" s="31" t="n">
        <f aca="false">J22/J11</f>
        <v>0.556824660744387</v>
      </c>
      <c r="K55" s="31" t="n">
        <f aca="false">K22/K11</f>
        <v>0.535315875157694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0.121904513139544</v>
      </c>
      <c r="C56" s="31" t="n">
        <f aca="false">(C22-C20)/C20</f>
        <v>0.105817055513958</v>
      </c>
      <c r="D56" s="31" t="n">
        <f aca="false">(D22-D20)/D20</f>
        <v>0.098203734933485</v>
      </c>
      <c r="E56" s="31" t="n">
        <f aca="false">(E22-E20)/E20</f>
        <v>0.0922157004522706</v>
      </c>
      <c r="G56" s="33" t="s">
        <v>68</v>
      </c>
      <c r="H56" s="50" t="n">
        <f aca="false">H13/B16</f>
        <v>0.297973175368054</v>
      </c>
      <c r="I56" s="50" t="n">
        <f aca="false">I13/C16</f>
        <v>0.281903050715767</v>
      </c>
      <c r="J56" s="50" t="n">
        <f aca="false">J13/D16</f>
        <v>0.293637676329099</v>
      </c>
      <c r="K56" s="50" t="n">
        <f aca="false">K13/E16</f>
        <v>0.284615559356026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0.4845228129568</v>
      </c>
      <c r="C57" s="30" t="n">
        <f aca="false">I11/C16</f>
        <v>0.451563840002346</v>
      </c>
      <c r="D57" s="30" t="n">
        <f aca="false">J11/D16</f>
        <v>0.479014677164837</v>
      </c>
      <c r="E57" s="30" t="n">
        <f aca="false">K11/E16</f>
        <v>0.485810435860574</v>
      </c>
      <c r="G57" s="33" t="s">
        <v>70</v>
      </c>
      <c r="H57" s="51" t="n">
        <f aca="false">H25/$B$5</f>
        <v>110.639051159497</v>
      </c>
      <c r="I57" s="51" t="n">
        <f aca="false">I25/$B$5</f>
        <v>115.064613205877</v>
      </c>
      <c r="J57" s="51" t="n">
        <f aca="false">J25/$B$5</f>
        <v>110.639051159497</v>
      </c>
      <c r="K57" s="51" t="n">
        <f aca="false">K25/$B$5</f>
        <v>106.213489113117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1.12190451313954</v>
      </c>
      <c r="C58" s="30" t="n">
        <f aca="false">C16/C20</f>
        <v>1.10581705551396</v>
      </c>
      <c r="D58" s="30" t="n">
        <f aca="false">D16/D20</f>
        <v>1.09820373493349</v>
      </c>
      <c r="E58" s="30" t="n">
        <f aca="false">E16/E20</f>
        <v>1.09221570045227</v>
      </c>
      <c r="G58" s="25" t="s">
        <v>72</v>
      </c>
      <c r="H58" s="39" t="n">
        <f aca="false">H22/$B$7/1000</f>
        <v>6.51594444444444</v>
      </c>
      <c r="I58" s="39" t="n">
        <f aca="false">I22/$B$7/1000</f>
        <v>6.26233333333333</v>
      </c>
      <c r="J58" s="39" t="n">
        <f aca="false">J22/$B$7/1000</f>
        <v>6.50005555555556</v>
      </c>
      <c r="K58" s="39" t="n">
        <f aca="false">K22/$B$7/1000</f>
        <v>6.23294444444444</v>
      </c>
      <c r="M58" s="6"/>
    </row>
    <row r="59" customFormat="false" ht="15" hidden="false" customHeight="false" outlineLevel="0" collapsed="false">
      <c r="G59" s="25" t="s">
        <v>73</v>
      </c>
      <c r="H59" s="39" t="n">
        <f aca="false">B20/$B$7/1000</f>
        <v>20.9287666666667</v>
      </c>
      <c r="I59" s="39" t="n">
        <f aca="false">C20/$B$7/1000</f>
        <v>21.9328222222222</v>
      </c>
      <c r="J59" s="39" t="n">
        <f aca="false">D20/$B$7/1000</f>
        <v>22.1904888888889</v>
      </c>
      <c r="K59" s="39" t="n">
        <f aca="false">E20/$B$7/1000</f>
        <v>21.9436</v>
      </c>
      <c r="M59" s="6"/>
    </row>
    <row r="60" customFormat="false" ht="15" hidden="false" customHeight="false" outlineLevel="0" collapsed="false">
      <c r="G60" s="33" t="s">
        <v>74</v>
      </c>
      <c r="H60" s="52" t="n">
        <f aca="false">SQRT(22.5*H58*H59)</f>
        <v>55.3926016724406</v>
      </c>
      <c r="I60" s="52" t="n">
        <f aca="false">SQRT(22.5*I58*I59)</f>
        <v>55.591271645526</v>
      </c>
      <c r="J60" s="52" t="n">
        <f aca="false">SQRT(22.5*J58*J59)</f>
        <v>56.9682959031698</v>
      </c>
      <c r="K60" s="52" t="n">
        <f aca="false">SQRT(22.5*K58*K59)</f>
        <v>55.4742993962069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4.84164311111111</v>
      </c>
      <c r="I61" s="39" t="n">
        <f aca="false">I58-(C20*0.08/1000/$B$7)</f>
        <v>4.50770755555556</v>
      </c>
      <c r="J61" s="39" t="n">
        <f aca="false">J58-(D20*0.08/1000/$B$7)</f>
        <v>4.72481644444444</v>
      </c>
      <c r="K61" s="39" t="n">
        <f aca="false">K58-(E20*0.08/1000/$B$7)</f>
        <v>4.47745644444445</v>
      </c>
      <c r="M61" s="6"/>
    </row>
    <row r="62" customFormat="false" ht="15" hidden="false" customHeight="false" outlineLevel="0" collapsed="false">
      <c r="G62" s="2" t="s">
        <v>76</v>
      </c>
      <c r="H62" s="53" t="n">
        <f aca="false">H25/$B$7/1000</f>
        <v>6.25</v>
      </c>
      <c r="I62" s="53" t="n">
        <f aca="false">I25/$B$7/1000</f>
        <v>6.5</v>
      </c>
      <c r="J62" s="53" t="n">
        <f aca="false">J25/$B$7/1000</f>
        <v>6.25</v>
      </c>
      <c r="K62" s="53" t="n">
        <f aca="false">K25/$B$7/1000</f>
        <v>6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0.370486221750162</v>
      </c>
      <c r="I74" s="6" t="n">
        <f aca="false">I59*$B$7/$B$5</f>
        <v>0.388260262386656</v>
      </c>
      <c r="J74" s="6" t="n">
        <f aca="false">J59*$B$7/$B$5</f>
        <v>0.392821541669125</v>
      </c>
      <c r="K74" s="6" t="n">
        <f aca="false">K59*$B$7/$B$5</f>
        <v>0.388451053283767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0.118969742338882</v>
      </c>
      <c r="I77" s="28" t="n">
        <f aca="false">(I15-I16)/$B$6</f>
        <v>0.113516286985884</v>
      </c>
      <c r="J77" s="28" t="n">
        <f aca="false">(J15-J16)/$B$6</f>
        <v>0.117683408723405</v>
      </c>
      <c r="K77" s="28" t="n">
        <f aca="false">(K15-K16)/$B$6</f>
        <v>0.112423548096439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30.572072072072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55" t="n">
        <v>2459.6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2624559</v>
      </c>
      <c r="M6" s="6"/>
    </row>
    <row r="7" customFormat="false" ht="15" hidden="false" customHeight="false" outlineLevel="0" collapsed="false">
      <c r="A7" s="2"/>
      <c r="B7" s="2" t="n">
        <v>140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  <c r="S10" s="2"/>
      <c r="T10" s="67"/>
      <c r="U10" s="67"/>
      <c r="V10" s="67"/>
      <c r="W10" s="67"/>
    </row>
    <row r="11" customFormat="false" ht="15" hidden="false" customHeight="false" outlineLevel="0" collapsed="false">
      <c r="A11" s="25" t="s">
        <v>6</v>
      </c>
      <c r="B11" s="56" t="n">
        <v>285258</v>
      </c>
      <c r="C11" s="56" t="n">
        <v>241988</v>
      </c>
      <c r="D11" s="56" t="n">
        <v>115524</v>
      </c>
      <c r="E11" s="56" t="n">
        <v>94623</v>
      </c>
      <c r="G11" s="25" t="s">
        <v>7</v>
      </c>
      <c r="H11" s="56" t="n">
        <v>356363</v>
      </c>
      <c r="I11" s="56" t="n">
        <v>355769</v>
      </c>
      <c r="J11" s="56" t="n">
        <v>159018</v>
      </c>
      <c r="K11" s="57"/>
      <c r="M11" s="25" t="s">
        <v>8</v>
      </c>
      <c r="N11" s="56" t="n">
        <v>120720</v>
      </c>
      <c r="O11" s="56" t="n">
        <v>154627</v>
      </c>
      <c r="P11" s="56" t="n">
        <v>53506</v>
      </c>
      <c r="Q11" s="58" t="n">
        <v>-25112</v>
      </c>
      <c r="S11" s="2"/>
      <c r="T11" s="4"/>
      <c r="U11" s="4"/>
      <c r="V11" s="4"/>
      <c r="W11" s="4"/>
      <c r="X11" s="4"/>
      <c r="Y11" s="4"/>
      <c r="Z11" s="28"/>
    </row>
    <row r="12" customFormat="false" ht="15" hidden="false" customHeight="false" outlineLevel="0" collapsed="false">
      <c r="A12" s="25" t="s">
        <v>9</v>
      </c>
      <c r="B12" s="56" t="n">
        <v>46157</v>
      </c>
      <c r="C12" s="56" t="n">
        <v>98054</v>
      </c>
      <c r="D12" s="56" t="n">
        <v>73772</v>
      </c>
      <c r="E12" s="56" t="n">
        <v>2086</v>
      </c>
      <c r="G12" s="25" t="s">
        <v>10</v>
      </c>
      <c r="H12" s="56" t="n">
        <v>130129</v>
      </c>
      <c r="I12" s="56" t="n">
        <v>112031</v>
      </c>
      <c r="J12" s="56" t="n">
        <v>35263</v>
      </c>
      <c r="K12" s="57"/>
      <c r="M12" s="25" t="s">
        <v>11</v>
      </c>
      <c r="N12" s="56" t="n">
        <v>61362</v>
      </c>
      <c r="O12" s="56" t="n">
        <v>59729</v>
      </c>
      <c r="P12" s="56" t="n">
        <v>46392</v>
      </c>
      <c r="Q12" s="56" t="n">
        <v>1203</v>
      </c>
      <c r="S12" s="2"/>
      <c r="T12" s="4"/>
      <c r="U12" s="4"/>
      <c r="V12" s="4"/>
      <c r="W12" s="4"/>
      <c r="X12" s="4"/>
      <c r="Y12" s="4"/>
      <c r="Z12" s="28"/>
    </row>
    <row r="13" customFormat="false" ht="15" hidden="false" customHeight="false" outlineLevel="0" collapsed="false">
      <c r="A13" s="25" t="s">
        <v>12</v>
      </c>
      <c r="B13" s="56" t="n">
        <v>36759</v>
      </c>
      <c r="C13" s="57"/>
      <c r="D13" s="57"/>
      <c r="E13" s="56" t="n">
        <v>971268</v>
      </c>
      <c r="G13" s="25" t="s">
        <v>13</v>
      </c>
      <c r="H13" s="56" t="n">
        <v>226234</v>
      </c>
      <c r="I13" s="56" t="n">
        <v>243738</v>
      </c>
      <c r="J13" s="56" t="n">
        <v>123755</v>
      </c>
      <c r="K13" s="57"/>
      <c r="M13" s="25" t="s">
        <v>14</v>
      </c>
      <c r="N13" s="56" t="n">
        <v>1581</v>
      </c>
      <c r="O13" s="58" t="n">
        <v>-25678</v>
      </c>
      <c r="P13" s="58" t="n">
        <v>-2529</v>
      </c>
      <c r="Q13" s="57"/>
      <c r="S13" s="2"/>
      <c r="T13" s="4"/>
      <c r="U13" s="4"/>
      <c r="V13" s="4"/>
      <c r="W13" s="4"/>
      <c r="X13" s="4"/>
      <c r="Y13" s="4"/>
      <c r="Z13" s="28"/>
    </row>
    <row r="14" customFormat="false" ht="15" hidden="false" customHeight="false" outlineLevel="0" collapsed="false">
      <c r="A14" s="25" t="s">
        <v>15</v>
      </c>
      <c r="B14" s="56" t="n">
        <v>1012075</v>
      </c>
      <c r="C14" s="56" t="n">
        <v>1058775</v>
      </c>
      <c r="D14" s="56" t="n">
        <v>1122148</v>
      </c>
      <c r="E14" s="56" t="n">
        <v>46848</v>
      </c>
      <c r="G14" s="25" t="s">
        <v>16</v>
      </c>
      <c r="H14" s="58" t="n">
        <v>-10454</v>
      </c>
      <c r="I14" s="56" t="n">
        <v>782</v>
      </c>
      <c r="J14" s="56" t="n">
        <v>3296</v>
      </c>
      <c r="K14" s="56" t="n">
        <v>1469</v>
      </c>
      <c r="M14" s="25" t="s">
        <v>9</v>
      </c>
      <c r="N14" s="58" t="n">
        <v>-27537</v>
      </c>
      <c r="O14" s="58" t="n">
        <v>-24283</v>
      </c>
      <c r="P14" s="58" t="n">
        <v>-71686</v>
      </c>
      <c r="Q14" s="58" t="n">
        <v>-2086</v>
      </c>
      <c r="S14" s="2"/>
      <c r="T14" s="4"/>
      <c r="U14" s="4"/>
      <c r="V14" s="4"/>
      <c r="W14" s="4"/>
      <c r="X14" s="4"/>
      <c r="Y14" s="4"/>
      <c r="Z14" s="28"/>
    </row>
    <row r="15" customFormat="false" ht="15" hidden="false" customHeight="false" outlineLevel="0" collapsed="false">
      <c r="A15" s="25" t="s">
        <v>17</v>
      </c>
      <c r="B15" s="56" t="n">
        <v>296</v>
      </c>
      <c r="C15" s="56" t="n">
        <v>656</v>
      </c>
      <c r="D15" s="56" t="n">
        <v>22843</v>
      </c>
      <c r="E15" s="57"/>
      <c r="G15" s="25" t="s">
        <v>18</v>
      </c>
      <c r="H15" s="56" t="n">
        <v>215780</v>
      </c>
      <c r="I15" s="56" t="n">
        <v>244520</v>
      </c>
      <c r="J15" s="56" t="n">
        <v>127051</v>
      </c>
      <c r="K15" s="56" t="n">
        <v>1469</v>
      </c>
      <c r="M15" s="25" t="s">
        <v>19</v>
      </c>
      <c r="N15" s="58" t="n">
        <v>-186</v>
      </c>
      <c r="O15" s="58" t="n">
        <v>-6616</v>
      </c>
      <c r="P15" s="56" t="n">
        <v>11404</v>
      </c>
      <c r="Q15" s="56" t="n">
        <v>104137</v>
      </c>
      <c r="S15" s="2"/>
      <c r="T15" s="4"/>
      <c r="U15" s="4"/>
      <c r="V15" s="4"/>
      <c r="W15" s="4"/>
      <c r="X15" s="4"/>
      <c r="Y15" s="4"/>
      <c r="Z15" s="28"/>
    </row>
    <row r="16" customFormat="false" ht="15" hidden="false" customHeight="false" outlineLevel="0" collapsed="false">
      <c r="A16" s="25" t="s">
        <v>20</v>
      </c>
      <c r="B16" s="56" t="n">
        <v>1380545</v>
      </c>
      <c r="C16" s="56" t="n">
        <v>1399473</v>
      </c>
      <c r="D16" s="56" t="n">
        <v>1334287</v>
      </c>
      <c r="E16" s="56" t="n">
        <v>1114825</v>
      </c>
      <c r="G16" s="25" t="s">
        <v>21</v>
      </c>
      <c r="H16" s="56" t="n">
        <v>33698</v>
      </c>
      <c r="I16" s="56" t="n">
        <v>30139</v>
      </c>
      <c r="J16" s="56" t="n">
        <v>14721</v>
      </c>
      <c r="K16" s="57"/>
      <c r="M16" s="25" t="s">
        <v>22</v>
      </c>
      <c r="N16" s="58" t="n">
        <v>-5184</v>
      </c>
      <c r="O16" s="58" t="n">
        <v>-39632</v>
      </c>
      <c r="P16" s="58" t="n">
        <v>-75279</v>
      </c>
      <c r="Q16" s="56" t="n">
        <v>118018</v>
      </c>
      <c r="S16" s="2"/>
      <c r="T16" s="4"/>
      <c r="U16" s="4"/>
      <c r="V16" s="4"/>
      <c r="W16" s="4"/>
      <c r="X16" s="4"/>
      <c r="Y16" s="4"/>
      <c r="Z16" s="28"/>
    </row>
    <row r="17" customFormat="false" ht="15" hidden="false" customHeight="false" outlineLevel="0" collapsed="false">
      <c r="A17" s="25" t="s">
        <v>23</v>
      </c>
      <c r="B17" s="56" t="n">
        <v>73053</v>
      </c>
      <c r="C17" s="56" t="n">
        <v>73801</v>
      </c>
      <c r="D17" s="56" t="n">
        <v>135959</v>
      </c>
      <c r="E17" s="56" t="n">
        <v>202847</v>
      </c>
      <c r="G17" s="25" t="s">
        <v>11</v>
      </c>
      <c r="H17" s="56" t="n">
        <v>61362</v>
      </c>
      <c r="I17" s="56" t="n">
        <v>59729</v>
      </c>
      <c r="J17" s="56" t="n">
        <v>46392</v>
      </c>
      <c r="K17" s="56" t="n">
        <v>1203</v>
      </c>
      <c r="M17" s="25" t="s">
        <v>24</v>
      </c>
      <c r="N17" s="56" t="n">
        <v>9599</v>
      </c>
      <c r="O17" s="58" t="n">
        <v>-10361</v>
      </c>
      <c r="P17" s="56" t="n">
        <v>3995</v>
      </c>
      <c r="Q17" s="58" t="n">
        <v>-3426</v>
      </c>
      <c r="S17" s="2"/>
      <c r="T17" s="4"/>
      <c r="U17" s="4"/>
      <c r="V17" s="4"/>
      <c r="W17" s="4"/>
      <c r="X17" s="4"/>
      <c r="Y17" s="4"/>
      <c r="Z17" s="28"/>
    </row>
    <row r="18" customFormat="false" ht="15" hidden="false" customHeight="false" outlineLevel="0" collapsed="false">
      <c r="A18" s="25" t="s">
        <v>25</v>
      </c>
      <c r="B18" s="56" t="n">
        <v>251573</v>
      </c>
      <c r="C18" s="56" t="n">
        <v>265819</v>
      </c>
      <c r="D18" s="56" t="n">
        <v>236583</v>
      </c>
      <c r="E18" s="56" t="n">
        <v>700</v>
      </c>
      <c r="G18" s="25" t="s">
        <v>26</v>
      </c>
      <c r="H18" s="57"/>
      <c r="I18" s="56" t="n">
        <v>25</v>
      </c>
      <c r="J18" s="56" t="n">
        <v>12433</v>
      </c>
      <c r="K18" s="56" t="n">
        <v>25378</v>
      </c>
      <c r="M18" s="25" t="s">
        <v>27</v>
      </c>
      <c r="N18" s="58" t="n">
        <v>-14662</v>
      </c>
      <c r="O18" s="58" t="n">
        <v>-17675</v>
      </c>
      <c r="P18" s="58" t="n">
        <v>-150424</v>
      </c>
      <c r="Q18" s="58" t="n">
        <v>-46673</v>
      </c>
      <c r="S18" s="2"/>
      <c r="T18" s="2"/>
      <c r="U18" s="2"/>
      <c r="V18" s="2"/>
      <c r="W18" s="2"/>
      <c r="X18" s="2"/>
      <c r="Y18" s="4"/>
      <c r="Z18" s="28"/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95060</v>
      </c>
      <c r="I19" s="56" t="n">
        <v>89893</v>
      </c>
      <c r="J19" s="56" t="n">
        <v>73546</v>
      </c>
      <c r="K19" s="56" t="n">
        <v>26581</v>
      </c>
      <c r="M19" s="25" t="s">
        <v>30</v>
      </c>
      <c r="N19" s="58" t="n">
        <v>-49981</v>
      </c>
      <c r="O19" s="57"/>
      <c r="P19" s="57"/>
      <c r="Q19" s="58" t="n">
        <v>-724327</v>
      </c>
      <c r="S19" s="2"/>
      <c r="T19" s="4"/>
      <c r="U19" s="4"/>
      <c r="V19" s="4"/>
      <c r="W19" s="4"/>
      <c r="X19" s="4"/>
      <c r="Y19" s="4"/>
      <c r="Z19" s="28"/>
    </row>
    <row r="20" customFormat="false" ht="15" hidden="false" customHeight="false" outlineLevel="0" collapsed="false">
      <c r="A20" s="25" t="s">
        <v>31</v>
      </c>
      <c r="B20" s="56" t="n">
        <v>1055919</v>
      </c>
      <c r="C20" s="56" t="n">
        <v>1059853</v>
      </c>
      <c r="D20" s="56" t="n">
        <v>961745</v>
      </c>
      <c r="E20" s="56" t="n">
        <v>911278</v>
      </c>
      <c r="G20" s="25" t="s">
        <v>32</v>
      </c>
      <c r="H20" s="56" t="n">
        <v>120720</v>
      </c>
      <c r="I20" s="56" t="n">
        <v>154627</v>
      </c>
      <c r="J20" s="56" t="n">
        <v>53505</v>
      </c>
      <c r="K20" s="58" t="n">
        <v>-25112</v>
      </c>
      <c r="M20" s="25" t="s">
        <v>33</v>
      </c>
      <c r="N20" s="58" t="n">
        <v>-13000</v>
      </c>
      <c r="O20" s="56" t="n">
        <v>55000</v>
      </c>
      <c r="P20" s="56" t="n">
        <v>215000</v>
      </c>
      <c r="Q20" s="57"/>
      <c r="S20" s="2"/>
      <c r="T20" s="4"/>
      <c r="U20" s="4"/>
      <c r="V20" s="4"/>
      <c r="W20" s="4"/>
      <c r="X20" s="4"/>
      <c r="Y20" s="4"/>
      <c r="Z20" s="28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7174</v>
      </c>
      <c r="I21" s="56" t="n">
        <v>7569</v>
      </c>
      <c r="J21" s="56" t="n">
        <v>3038</v>
      </c>
      <c r="K21" s="56" t="n">
        <v>1669</v>
      </c>
      <c r="M21" s="25" t="s">
        <v>36</v>
      </c>
      <c r="N21" s="58" t="n">
        <v>-117481</v>
      </c>
      <c r="O21" s="58" t="n">
        <v>-48859</v>
      </c>
      <c r="P21" s="57"/>
      <c r="Q21" s="57"/>
      <c r="S21" s="2"/>
      <c r="T21" s="4"/>
      <c r="U21" s="4"/>
      <c r="V21" s="4"/>
      <c r="W21" s="4"/>
      <c r="X21" s="4"/>
      <c r="Y21" s="4"/>
      <c r="Z21" s="28"/>
    </row>
    <row r="22" customFormat="false" ht="15" hidden="false" customHeight="false" outlineLevel="0" collapsed="false">
      <c r="A22" s="25" t="s">
        <v>37</v>
      </c>
      <c r="B22" s="56" t="n">
        <v>1380545</v>
      </c>
      <c r="C22" s="56" t="n">
        <v>1399473</v>
      </c>
      <c r="D22" s="56" t="n">
        <v>1334287</v>
      </c>
      <c r="E22" s="56" t="n">
        <v>1114825</v>
      </c>
      <c r="G22" s="25" t="s">
        <v>8</v>
      </c>
      <c r="H22" s="56" t="n">
        <v>113546</v>
      </c>
      <c r="I22" s="56" t="n">
        <v>147058</v>
      </c>
      <c r="J22" s="56" t="n">
        <v>50467</v>
      </c>
      <c r="K22" s="58" t="n">
        <v>-26781</v>
      </c>
      <c r="M22" s="25" t="s">
        <v>38</v>
      </c>
      <c r="N22" s="56" t="n">
        <v>194436</v>
      </c>
      <c r="O22" s="56" t="n">
        <v>98183</v>
      </c>
      <c r="P22" s="56" t="n">
        <v>67804</v>
      </c>
      <c r="Q22" s="56" t="n">
        <v>646070</v>
      </c>
      <c r="S22" s="2"/>
      <c r="T22" s="4"/>
      <c r="U22" s="4"/>
      <c r="V22" s="4"/>
      <c r="W22" s="4"/>
      <c r="X22" s="4"/>
      <c r="Y22" s="4"/>
      <c r="Z22" s="28"/>
    </row>
    <row r="23" customFormat="false" ht="15" hidden="false" customHeight="false" outlineLevel="0" collapsed="false">
      <c r="B23" s="4" t="n">
        <f aca="false">B11+B12</f>
        <v>331415</v>
      </c>
      <c r="C23" s="4" t="n">
        <f aca="false">C11+C12</f>
        <v>340042</v>
      </c>
      <c r="D23" s="4" t="n">
        <f aca="false">D11+D12</f>
        <v>189296</v>
      </c>
      <c r="E23" s="4" t="n">
        <f aca="false">E11+E12</f>
        <v>96709</v>
      </c>
      <c r="G23" s="25" t="s">
        <v>39</v>
      </c>
      <c r="H23" s="56" t="n">
        <v>67872</v>
      </c>
      <c r="I23" s="58" t="n">
        <v>-17255</v>
      </c>
      <c r="J23" s="58" t="n">
        <v>-67722</v>
      </c>
      <c r="K23" s="56" t="n">
        <v>938059</v>
      </c>
      <c r="M23" s="25" t="s">
        <v>40</v>
      </c>
      <c r="N23" s="56" t="n">
        <v>159667</v>
      </c>
      <c r="O23" s="56" t="n">
        <v>194435</v>
      </c>
      <c r="P23" s="56" t="n">
        <v>98183</v>
      </c>
      <c r="Q23" s="56" t="n">
        <v>67804</v>
      </c>
      <c r="S23" s="2"/>
      <c r="T23" s="4"/>
      <c r="U23" s="4"/>
      <c r="V23" s="4"/>
      <c r="W23" s="4"/>
      <c r="X23" s="4"/>
      <c r="Y23" s="4"/>
      <c r="Z23" s="28"/>
    </row>
    <row r="24" customFormat="false" ht="15" hidden="false" customHeight="false" outlineLevel="0" collapsed="false">
      <c r="G24" s="25" t="s">
        <v>41</v>
      </c>
      <c r="H24" s="56" t="n">
        <v>11355</v>
      </c>
      <c r="I24" s="58" t="n">
        <v>-12980</v>
      </c>
      <c r="J24" s="57"/>
      <c r="K24" s="57"/>
      <c r="M24" s="2" t="s">
        <v>42</v>
      </c>
      <c r="N24" s="12" t="n">
        <f aca="false">SUM(N11:N17)</f>
        <v>160355</v>
      </c>
      <c r="O24" s="12" t="n">
        <f aca="false">SUM(O11:O17)</f>
        <v>107786</v>
      </c>
      <c r="P24" s="12" t="n">
        <f aca="false">SUM(P11:P17)</f>
        <v>-34197</v>
      </c>
      <c r="Q24" s="12" t="n">
        <f aca="false">SUM(Q11:Q17)</f>
        <v>192734</v>
      </c>
      <c r="S24" s="2"/>
      <c r="T24" s="2"/>
      <c r="U24" s="2"/>
      <c r="V24" s="2"/>
      <c r="W24" s="4"/>
      <c r="X24" s="4"/>
      <c r="Y24" s="4"/>
      <c r="Z24" s="28"/>
    </row>
    <row r="25" customFormat="false" ht="15" hidden="false" customHeight="false" outlineLevel="0" collapsed="false">
      <c r="B25" s="28" t="n">
        <f aca="false">H20/B22</f>
        <v>0.0874437269339283</v>
      </c>
      <c r="G25" s="25" t="s">
        <v>43</v>
      </c>
      <c r="H25" s="56" t="n">
        <v>117480</v>
      </c>
      <c r="I25" s="58" t="n">
        <v>-48980</v>
      </c>
      <c r="J25" s="57"/>
      <c r="K25" s="57"/>
      <c r="M25" s="2" t="s">
        <v>44</v>
      </c>
      <c r="N25" s="12" t="n">
        <f aca="false">N18+N19</f>
        <v>-64643</v>
      </c>
      <c r="O25" s="12" t="n">
        <f aca="false">O18+O19</f>
        <v>-17675</v>
      </c>
      <c r="P25" s="12" t="n">
        <f aca="false">P18+P19</f>
        <v>-150424</v>
      </c>
      <c r="Q25" s="12" t="n">
        <f aca="false">Q18+Q19</f>
        <v>-771000</v>
      </c>
      <c r="S25" s="2"/>
      <c r="T25" s="2"/>
      <c r="U25" s="2"/>
      <c r="V25" s="4"/>
      <c r="W25" s="4"/>
      <c r="X25" s="4"/>
      <c r="Y25" s="4"/>
      <c r="Z25" s="28"/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-130481</v>
      </c>
      <c r="O26" s="12" t="n">
        <f aca="false">O20+O21</f>
        <v>6141</v>
      </c>
      <c r="P26" s="12" t="n">
        <f aca="false">P20+P21</f>
        <v>215000</v>
      </c>
      <c r="Q26" s="12" t="n">
        <f aca="false">Q20+Q21</f>
        <v>0</v>
      </c>
      <c r="S26" s="2"/>
      <c r="T26" s="4"/>
      <c r="U26" s="4"/>
      <c r="V26" s="2"/>
      <c r="W26" s="2"/>
      <c r="X26" s="2"/>
      <c r="Y26" s="4"/>
      <c r="Z26" s="28"/>
    </row>
    <row r="27" customFormat="false" ht="15" hidden="false" customHeight="false" outlineLevel="0" collapsed="false">
      <c r="G27" s="25" t="s">
        <v>47</v>
      </c>
      <c r="H27" s="56" t="n">
        <v>52584</v>
      </c>
      <c r="I27" s="56" t="n">
        <v>67872</v>
      </c>
      <c r="J27" s="58" t="n">
        <v>-17255</v>
      </c>
      <c r="K27" s="56" t="n">
        <v>911278</v>
      </c>
      <c r="M27" s="2" t="s">
        <v>48</v>
      </c>
      <c r="N27" s="12" t="n">
        <f aca="false">N24+N25+N26</f>
        <v>-34769</v>
      </c>
      <c r="O27" s="12" t="n">
        <f aca="false">O24+O25+O26</f>
        <v>96252</v>
      </c>
      <c r="P27" s="12" t="n">
        <f aca="false">P24+P25+P26</f>
        <v>30379</v>
      </c>
      <c r="Q27" s="12" t="n">
        <f aca="false">Q24+Q25+Q26</f>
        <v>-578266</v>
      </c>
      <c r="S27" s="2"/>
      <c r="T27" s="4"/>
      <c r="U27" s="4"/>
      <c r="V27" s="4"/>
      <c r="W27" s="4"/>
      <c r="X27" s="4"/>
      <c r="Y27" s="4"/>
      <c r="Z27" s="28"/>
    </row>
    <row r="28" customFormat="false" ht="15" hidden="false" customHeight="false" outlineLevel="0" collapsed="false">
      <c r="M28" s="2" t="s">
        <v>104</v>
      </c>
      <c r="N28" s="12" t="n">
        <f aca="false">N24+N18</f>
        <v>145693</v>
      </c>
      <c r="O28" s="12" t="n">
        <f aca="false">O24+O18</f>
        <v>90111</v>
      </c>
      <c r="P28" s="12" t="n">
        <f aca="false">P24+P18</f>
        <v>-184621</v>
      </c>
      <c r="Q28" s="12" t="n">
        <f aca="false">Q24+Q18</f>
        <v>146061</v>
      </c>
      <c r="Z28" s="28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0.206627092923447</v>
      </c>
      <c r="C30" s="24" t="n">
        <f aca="false">C11/C$16</f>
        <v>0.172913661070989</v>
      </c>
      <c r="D30" s="24" t="n">
        <f aca="false">D11/D$16</f>
        <v>0.0865810728876171</v>
      </c>
      <c r="E30" s="24" t="n">
        <f aca="false">E11/E$16</f>
        <v>0.0848769986320723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e">
        <f aca="false">K11/K$11</f>
        <v>#DIV/0!</v>
      </c>
      <c r="L30" s="6"/>
      <c r="M30" s="25" t="s">
        <v>8</v>
      </c>
      <c r="N30" s="26" t="n">
        <f aca="false">N11/H$11</f>
        <v>0.338755706961722</v>
      </c>
      <c r="O30" s="26" t="n">
        <f aca="false">O11/I$11</f>
        <v>0.4346275251638</v>
      </c>
      <c r="P30" s="26" t="n">
        <f aca="false">P11/J$11</f>
        <v>0.336477631463105</v>
      </c>
      <c r="Q30" s="26" t="e">
        <f aca="false">Q11/K$11</f>
        <v>#DIV/0!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0.033433897482516</v>
      </c>
      <c r="C31" s="24" t="n">
        <f aca="false">C12/C$16</f>
        <v>0.0700649458760548</v>
      </c>
      <c r="D31" s="24" t="n">
        <f aca="false">D12/D$16</f>
        <v>0.0552894542178707</v>
      </c>
      <c r="E31" s="24" t="n">
        <f aca="false">E12/E$16</f>
        <v>0.00187114569551275</v>
      </c>
      <c r="F31" s="6"/>
      <c r="G31" s="25" t="s">
        <v>10</v>
      </c>
      <c r="H31" s="24" t="n">
        <f aca="false">H12/H$11</f>
        <v>0.365158560232123</v>
      </c>
      <c r="I31" s="24" t="n">
        <f aca="false">I12/I$11</f>
        <v>0.314898150204205</v>
      </c>
      <c r="J31" s="24" t="n">
        <f aca="false">J12/J$11</f>
        <v>0.221754769900263</v>
      </c>
      <c r="K31" s="24" t="e">
        <f aca="false">K12/K$11</f>
        <v>#DIV/0!</v>
      </c>
      <c r="L31" s="6"/>
      <c r="M31" s="25" t="s">
        <v>11</v>
      </c>
      <c r="N31" s="26" t="n">
        <f aca="false">N12/H$11</f>
        <v>0.172189593195702</v>
      </c>
      <c r="O31" s="26" t="n">
        <f aca="false">O12/I$11</f>
        <v>0.167887027818613</v>
      </c>
      <c r="P31" s="26" t="n">
        <f aca="false">P12/J$11</f>
        <v>0.291740557672716</v>
      </c>
      <c r="Q31" s="26" t="e">
        <f aca="false">Q12/K$11</f>
        <v>#DIV/0!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0.0266264410069936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0.871229116677505</v>
      </c>
      <c r="F32" s="6"/>
      <c r="G32" s="25" t="s">
        <v>13</v>
      </c>
      <c r="H32" s="24" t="n">
        <f aca="false">H13/H$11</f>
        <v>0.634841439767877</v>
      </c>
      <c r="I32" s="24" t="n">
        <f aca="false">I13/I$11</f>
        <v>0.685101849795794</v>
      </c>
      <c r="J32" s="24" t="n">
        <f aca="false">J13/J$11</f>
        <v>0.778245230099737</v>
      </c>
      <c r="K32" s="24" t="e">
        <f aca="false">K13/K$11</f>
        <v>#DIV/0!</v>
      </c>
      <c r="L32" s="6"/>
      <c r="M32" s="25" t="s">
        <v>14</v>
      </c>
      <c r="N32" s="26" t="n">
        <f aca="false">N13/H$11</f>
        <v>0.00443648751413587</v>
      </c>
      <c r="O32" s="26" t="n">
        <f aca="false">O13/I$11</f>
        <v>-0.0721760468168952</v>
      </c>
      <c r="P32" s="26" t="n">
        <f aca="false">P13/J$11</f>
        <v>-0.0159038599403841</v>
      </c>
      <c r="Q32" s="26" t="e">
        <f aca="false">Q13/K$11</f>
        <v>#DIV/0!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0.733098160509074</v>
      </c>
      <c r="C33" s="24" t="n">
        <f aca="false">C14/C$16</f>
        <v>0.756552645174291</v>
      </c>
      <c r="D33" s="24" t="n">
        <f aca="false">D14/D$16</f>
        <v>0.841009467978029</v>
      </c>
      <c r="E33" s="24" t="n">
        <f aca="false">E14/E$16</f>
        <v>0.0420227389949095</v>
      </c>
      <c r="F33" s="6"/>
      <c r="G33" s="25" t="s">
        <v>16</v>
      </c>
      <c r="H33" s="24" t="n">
        <f aca="false">H14/H$11</f>
        <v>-0.0293352564660192</v>
      </c>
      <c r="I33" s="24" t="n">
        <f aca="false">I14/I$11</f>
        <v>0.00219805547981977</v>
      </c>
      <c r="J33" s="24" t="n">
        <f aca="false">J14/J$11</f>
        <v>0.0207272132714535</v>
      </c>
      <c r="K33" s="24" t="e">
        <f aca="false">K14/K$11</f>
        <v>#DIV/0!</v>
      </c>
      <c r="L33" s="6"/>
      <c r="M33" s="25" t="s">
        <v>9</v>
      </c>
      <c r="N33" s="26" t="n">
        <f aca="false">N14/H$11</f>
        <v>-0.0772723318638579</v>
      </c>
      <c r="O33" s="26" t="n">
        <f aca="false">O14/I$11</f>
        <v>-0.0682549631924086</v>
      </c>
      <c r="P33" s="26" t="n">
        <f aca="false">P14/J$11</f>
        <v>-0.450804311461596</v>
      </c>
      <c r="Q33" s="26" t="e">
        <f aca="false">Q14/K$11</f>
        <v>#DIV/0!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0.000214408077969208</v>
      </c>
      <c r="C34" s="24" t="n">
        <f aca="false">C15/C$16</f>
        <v>0.000468747878665755</v>
      </c>
      <c r="D34" s="24" t="n">
        <f aca="false">D15/D$16</f>
        <v>0.0171200049164835</v>
      </c>
      <c r="E34" s="24" t="n">
        <f aca="false">E15/E$16</f>
        <v>0</v>
      </c>
      <c r="F34" s="6"/>
      <c r="G34" s="25" t="s">
        <v>18</v>
      </c>
      <c r="H34" s="24" t="n">
        <f aca="false">H15/H$11</f>
        <v>0.605506183301858</v>
      </c>
      <c r="I34" s="24" t="n">
        <f aca="false">I15/I$11</f>
        <v>0.687299905275614</v>
      </c>
      <c r="J34" s="24" t="n">
        <f aca="false">J15/J$11</f>
        <v>0.798972443371191</v>
      </c>
      <c r="K34" s="24" t="e">
        <f aca="false">K15/K$11</f>
        <v>#DIV/0!</v>
      </c>
      <c r="L34" s="6"/>
      <c r="M34" s="25" t="s">
        <v>19</v>
      </c>
      <c r="N34" s="26" t="n">
        <f aca="false">N15/H$11</f>
        <v>-0.000521939707545396</v>
      </c>
      <c r="O34" s="26" t="n">
        <f aca="false">O15/I$11</f>
        <v>-0.0185963363868128</v>
      </c>
      <c r="P34" s="26" t="n">
        <f aca="false">P15/J$11</f>
        <v>0.0717151517438277</v>
      </c>
      <c r="Q34" s="26" t="e">
        <f aca="false">Q15/K$11</f>
        <v>#DIV/0!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0.0945608831444342</v>
      </c>
      <c r="I35" s="24" t="n">
        <f aca="false">I16/I$11</f>
        <v>0.0847150819773505</v>
      </c>
      <c r="J35" s="24" t="n">
        <f aca="false">J16/J$11</f>
        <v>0.0925744255367317</v>
      </c>
      <c r="K35" s="24" t="e">
        <f aca="false">K16/K$11</f>
        <v>#DIV/0!</v>
      </c>
      <c r="L35" s="6"/>
      <c r="M35" s="25" t="s">
        <v>22</v>
      </c>
      <c r="N35" s="26" t="n">
        <f aca="false">N16/H$11</f>
        <v>-0.014546964752233</v>
      </c>
      <c r="O35" s="26" t="n">
        <f aca="false">O16/I$11</f>
        <v>-0.111398126312298</v>
      </c>
      <c r="P35" s="26" t="n">
        <f aca="false">P16/J$11</f>
        <v>-0.473399237822133</v>
      </c>
      <c r="Q35" s="26" t="e">
        <f aca="false">Q16/K$11</f>
        <v>#DIV/0!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0.0529160585131234</v>
      </c>
      <c r="C36" s="24" t="n">
        <f aca="false">C17/C$16</f>
        <v>0.0527348509045905</v>
      </c>
      <c r="D36" s="24" t="n">
        <f aca="false">D17/D$16</f>
        <v>0.101896368622343</v>
      </c>
      <c r="E36" s="24" t="n">
        <f aca="false">E17/E$16</f>
        <v>0.181954118359384</v>
      </c>
      <c r="F36" s="6"/>
      <c r="G36" s="25" t="s">
        <v>11</v>
      </c>
      <c r="H36" s="24" t="n">
        <f aca="false">H17/H$11</f>
        <v>0.172189593195702</v>
      </c>
      <c r="I36" s="24" t="n">
        <f aca="false">I17/I$11</f>
        <v>0.167887027818613</v>
      </c>
      <c r="J36" s="24" t="n">
        <f aca="false">J17/J$11</f>
        <v>0.291740557672716</v>
      </c>
      <c r="K36" s="24" t="e">
        <f aca="false">K17/K$11</f>
        <v>#DIV/0!</v>
      </c>
      <c r="L36" s="6"/>
      <c r="M36" s="25" t="s">
        <v>24</v>
      </c>
      <c r="N36" s="26" t="n">
        <f aca="false">N17/H$11</f>
        <v>0.0269360174877863</v>
      </c>
      <c r="O36" s="26" t="n">
        <f aca="false">O17/I$11</f>
        <v>-0.0291228297012949</v>
      </c>
      <c r="P36" s="26" t="n">
        <f aca="false">P17/J$11</f>
        <v>0.0251229420568741</v>
      </c>
      <c r="Q36" s="26" t="e">
        <f aca="false">Q17/K$11</f>
        <v>#DIV/0!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0.182227308780228</v>
      </c>
      <c r="C37" s="24" t="n">
        <f aca="false">C18/C$16</f>
        <v>0.18994221396197</v>
      </c>
      <c r="D37" s="24" t="n">
        <f aca="false">D18/D$16</f>
        <v>0.177310428715861</v>
      </c>
      <c r="E37" s="24" t="n">
        <f aca="false">E18/E$16</f>
        <v>0.000627901240104949</v>
      </c>
      <c r="F37" s="6"/>
      <c r="G37" s="25" t="s">
        <v>26</v>
      </c>
      <c r="H37" s="24" t="n">
        <f aca="false">H18/H$11</f>
        <v>0</v>
      </c>
      <c r="I37" s="24" t="n">
        <f aca="false">I18/I$11</f>
        <v>7.02703158510157E-005</v>
      </c>
      <c r="J37" s="24" t="n">
        <f aca="false">J18/J$11</f>
        <v>0.0781861172948974</v>
      </c>
      <c r="K37" s="24" t="e">
        <f aca="false">K18/K$11</f>
        <v>#DIV/0!</v>
      </c>
      <c r="L37" s="6"/>
      <c r="M37" s="25" t="s">
        <v>27</v>
      </c>
      <c r="N37" s="26" t="n">
        <f aca="false">N18/H$11</f>
        <v>-0.0411434408173688</v>
      </c>
      <c r="O37" s="26" t="n">
        <f aca="false">O18/I$11</f>
        <v>-0.0496811133066681</v>
      </c>
      <c r="P37" s="26" t="n">
        <f aca="false">P18/J$11</f>
        <v>-0.945955803745488</v>
      </c>
      <c r="Q37" s="26" t="e">
        <f aca="false">Q18/K$11</f>
        <v>#DIV/0!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0.266750476340136</v>
      </c>
      <c r="I38" s="24" t="n">
        <f aca="false">I19/I$11</f>
        <v>0.252672380111814</v>
      </c>
      <c r="J38" s="24" t="n">
        <f aca="false">J19/J$11</f>
        <v>0.462501100504345</v>
      </c>
      <c r="K38" s="24" t="e">
        <f aca="false">K19/K$11</f>
        <v>#DIV/0!</v>
      </c>
      <c r="L38" s="6"/>
      <c r="M38" s="25" t="s">
        <v>30</v>
      </c>
      <c r="N38" s="26" t="n">
        <f aca="false">N19/H$11</f>
        <v>-0.140253056574336</v>
      </c>
      <c r="O38" s="26" t="n">
        <f aca="false">O19/I$11</f>
        <v>0</v>
      </c>
      <c r="P38" s="26" t="n">
        <f aca="false">P19/J$11</f>
        <v>0</v>
      </c>
      <c r="Q38" s="26" t="e">
        <f aca="false">Q19/K$11</f>
        <v>#DIV/0!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0.764856632706649</v>
      </c>
      <c r="C39" s="24" t="n">
        <f aca="false">C20/C$16</f>
        <v>0.75732293513344</v>
      </c>
      <c r="D39" s="24" t="n">
        <f aca="false">D20/D$16</f>
        <v>0.720793202661796</v>
      </c>
      <c r="E39" s="24" t="n">
        <f aca="false">E20/E$16</f>
        <v>0.817417980400511</v>
      </c>
      <c r="F39" s="6"/>
      <c r="G39" s="25" t="s">
        <v>32</v>
      </c>
      <c r="H39" s="24" t="n">
        <f aca="false">H20/H$11</f>
        <v>0.338755706961722</v>
      </c>
      <c r="I39" s="24" t="n">
        <f aca="false">I20/I$11</f>
        <v>0.4346275251638</v>
      </c>
      <c r="J39" s="24" t="n">
        <f aca="false">J20/J$11</f>
        <v>0.336471342866845</v>
      </c>
      <c r="K39" s="24" t="e">
        <f aca="false">K20/K$11</f>
        <v>#DIV/0!</v>
      </c>
      <c r="L39" s="6"/>
      <c r="M39" s="25" t="s">
        <v>33</v>
      </c>
      <c r="N39" s="26" t="n">
        <f aca="false">N20/H$11</f>
        <v>-0.0364796569789793</v>
      </c>
      <c r="O39" s="26" t="n">
        <f aca="false">O20/I$11</f>
        <v>0.154594694872235</v>
      </c>
      <c r="P39" s="26" t="n">
        <f aca="false">P20/J$11</f>
        <v>1.35204819580173</v>
      </c>
      <c r="Q39" s="26" t="e">
        <f aca="false">Q20/K$11</f>
        <v>#DIV/0!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0.0201311583974767</v>
      </c>
      <c r="I40" s="24" t="n">
        <f aca="false">I21/I$11</f>
        <v>0.0212750408270535</v>
      </c>
      <c r="J40" s="24" t="n">
        <f aca="false">J21/J$11</f>
        <v>0.0191047554364915</v>
      </c>
      <c r="K40" s="24" t="e">
        <f aca="false">K21/K$11</f>
        <v>#DIV/0!</v>
      </c>
      <c r="L40" s="6"/>
      <c r="M40" s="25" t="s">
        <v>36</v>
      </c>
      <c r="N40" s="26" t="n">
        <f aca="false">N21/H$11</f>
        <v>-0.329666660119036</v>
      </c>
      <c r="O40" s="26" t="n">
        <f aca="false">O21/I$11</f>
        <v>-0.137333494486591</v>
      </c>
      <c r="P40" s="26" t="n">
        <f aca="false">P21/J$11</f>
        <v>0</v>
      </c>
      <c r="Q40" s="26" t="e">
        <f aca="false">Q21/K$11</f>
        <v>#DIV/0!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0.318624548564245</v>
      </c>
      <c r="I41" s="24" t="n">
        <f aca="false">I22/I$11</f>
        <v>0.413352484336747</v>
      </c>
      <c r="J41" s="24" t="n">
        <f aca="false">J22/J$11</f>
        <v>0.317366587430354</v>
      </c>
      <c r="K41" s="24" t="e">
        <f aca="false">K22/K$11</f>
        <v>#DIV/0!</v>
      </c>
      <c r="L41" s="6"/>
      <c r="M41" s="25" t="s">
        <v>38</v>
      </c>
      <c r="N41" s="26" t="n">
        <f aca="false">N22/H$11</f>
        <v>0.545612198797294</v>
      </c>
      <c r="O41" s="26" t="n">
        <f aca="false">O22/I$11</f>
        <v>0.275974016848011</v>
      </c>
      <c r="P41" s="26" t="n">
        <f aca="false">P22/J$11</f>
        <v>0.42639198078205</v>
      </c>
      <c r="Q41" s="26" t="e">
        <f aca="false">Q22/K$11</f>
        <v>#DIV/0!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0.190457482959791</v>
      </c>
      <c r="I42" s="24" t="n">
        <f aca="false">I23/I$11</f>
        <v>-0.048500572000371</v>
      </c>
      <c r="J42" s="24" t="n">
        <f aca="false">J23/J$11</f>
        <v>-0.425876315888767</v>
      </c>
      <c r="K42" s="24" t="e">
        <f aca="false">K23/K$11</f>
        <v>#DIV/0!</v>
      </c>
      <c r="L42" s="6"/>
      <c r="M42" s="25" t="s">
        <v>40</v>
      </c>
      <c r="N42" s="26" t="n">
        <f aca="false">N23/H$11</f>
        <v>0.448045953143284</v>
      </c>
      <c r="O42" s="26" t="n">
        <f aca="false">O23/I$11</f>
        <v>0.546520354499689</v>
      </c>
      <c r="P42" s="26" t="n">
        <f aca="false">P23/J$11</f>
        <v>0.617433246550705</v>
      </c>
      <c r="Q42" s="26" t="e">
        <f aca="false">Q23/K$11</f>
        <v>#DIV/0!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0.0318635773074085</v>
      </c>
      <c r="I43" s="24" t="n">
        <f aca="false">I24/I$11</f>
        <v>-0.0364843479898473</v>
      </c>
      <c r="J43" s="24" t="n">
        <f aca="false">J24/J$11</f>
        <v>0</v>
      </c>
      <c r="K43" s="24" t="e">
        <f aca="false">K24/K$11</f>
        <v>#DIV/0!</v>
      </c>
      <c r="L43" s="6"/>
      <c r="M43" s="2" t="s">
        <v>49</v>
      </c>
      <c r="N43" s="26" t="n">
        <f aca="false">N24/H11</f>
        <v>0.44997656883571</v>
      </c>
      <c r="O43" s="26" t="n">
        <f aca="false">O24/I11</f>
        <v>0.302966250572703</v>
      </c>
      <c r="P43" s="26" t="n">
        <f aca="false">P24/J11</f>
        <v>-0.21505112628759</v>
      </c>
      <c r="Q43" s="26" t="e">
        <f aca="false">Q24/K11</f>
        <v>#DIV/0!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0.329663853991576</v>
      </c>
      <c r="I44" s="24" t="n">
        <f aca="false">I25/I$11</f>
        <v>-0.13767360281531</v>
      </c>
      <c r="J44" s="24" t="n">
        <f aca="false">J25/J$11</f>
        <v>0</v>
      </c>
      <c r="K44" s="24" t="e">
        <f aca="false">K25/K$11</f>
        <v>#DIV/0!</v>
      </c>
      <c r="L44" s="6"/>
      <c r="M44" s="2" t="s">
        <v>50</v>
      </c>
      <c r="N44" s="26" t="n">
        <f aca="false">N24/B16</f>
        <v>0.116153403184974</v>
      </c>
      <c r="O44" s="26" t="n">
        <f aca="false">O24/C16</f>
        <v>0.0770189921491876</v>
      </c>
      <c r="P44" s="26" t="n">
        <f aca="false">P24/D16</f>
        <v>-0.0256294185583761</v>
      </c>
      <c r="Q44" s="26" t="n">
        <f aca="false">Q24/E16</f>
        <v>0.17288273944341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e">
        <f aca="false">K26/K$11</f>
        <v>#DIV/0!</v>
      </c>
      <c r="L45" s="6"/>
      <c r="M45" s="2" t="s">
        <v>51</v>
      </c>
      <c r="N45" s="26" t="n">
        <f aca="false">N24/B20</f>
        <v>0.151862974337994</v>
      </c>
      <c r="O45" s="26" t="n">
        <f aca="false">O24/C20</f>
        <v>0.10169900920222</v>
      </c>
      <c r="P45" s="26" t="n">
        <f aca="false">P24/D20</f>
        <v>-0.035557242304353</v>
      </c>
      <c r="Q45" s="26" t="n">
        <f aca="false">Q24/E20</f>
        <v>0.211498576724117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0.147557406352511</v>
      </c>
      <c r="I46" s="24" t="n">
        <f aca="false">I27/I$11</f>
        <v>0.190775475097605</v>
      </c>
      <c r="J46" s="24" t="n">
        <f aca="false">J27/J$11</f>
        <v>-0.108509728458414</v>
      </c>
      <c r="K46" s="24" t="e">
        <f aca="false">K27/K$11</f>
        <v>#DIV/0!</v>
      </c>
      <c r="L46" s="6"/>
      <c r="M46" s="2" t="s">
        <v>52</v>
      </c>
      <c r="N46" s="26" t="n">
        <f aca="false">N24/H22</f>
        <v>1.41224701882937</v>
      </c>
      <c r="O46" s="26" t="n">
        <f aca="false">O24/I22</f>
        <v>0.732948904513865</v>
      </c>
      <c r="P46" s="26" t="n">
        <f aca="false">P24/J22</f>
        <v>-0.67761111221194</v>
      </c>
      <c r="Q46" s="26" t="n">
        <f aca="false">Q24/K22</f>
        <v>-7.19666928046003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0.493968443685965</v>
      </c>
      <c r="O47" s="26" t="n">
        <f aca="false">O24/(C22-C20)</f>
        <v>0.317372357340557</v>
      </c>
      <c r="P47" s="26" t="n">
        <f aca="false">P24/(D22-D20)</f>
        <v>-0.0917936769545447</v>
      </c>
      <c r="Q47" s="26" t="n">
        <f aca="false">Q24/(E22-E20)</f>
        <v>0.946877134028013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1.36495573714675</v>
      </c>
      <c r="O48" s="26" t="n">
        <f aca="false">O24/I25</f>
        <v>-2.20061249489588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10.9367753376074</v>
      </c>
      <c r="O49" s="26" t="n">
        <f aca="false">O24/(O18*-1)</f>
        <v>6.09821782178218</v>
      </c>
      <c r="P49" s="26" t="n">
        <f aca="false">P24/(P18*-1)</f>
        <v>-0.227337392969207</v>
      </c>
      <c r="Q49" s="26" t="n">
        <f aca="false">Q24/(Q18*-1)</f>
        <v>4.12945385983331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-0.0745240160495125</v>
      </c>
      <c r="I50" s="28" t="n">
        <f aca="false">LN(I13/J13)</f>
        <v>0.677790073223869</v>
      </c>
      <c r="J50" s="28" t="e">
        <f aca="false">LN(J13/K13)</f>
        <v>#DIV/0!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4.53663778352703</v>
      </c>
      <c r="C51" s="30" t="n">
        <f aca="false">C23/C17</f>
        <v>4.60755274318776</v>
      </c>
      <c r="D51" s="30" t="n">
        <f aca="false">D23/D17</f>
        <v>1.39230209107157</v>
      </c>
      <c r="E51" s="30" t="n">
        <f aca="false">E23/E17</f>
        <v>0.476758344959502</v>
      </c>
      <c r="G51" s="29" t="s">
        <v>58</v>
      </c>
      <c r="H51" s="31" t="n">
        <f aca="false">H13/H11</f>
        <v>0.634841439767877</v>
      </c>
      <c r="I51" s="31" t="n">
        <f aca="false">I13/I11</f>
        <v>0.685101849795795</v>
      </c>
      <c r="J51" s="31" t="n">
        <f aca="false">J13/J11</f>
        <v>0.778245230099737</v>
      </c>
      <c r="K51" s="31" t="e">
        <f aca="false">K13/K11</f>
        <v>#DIV/0!</v>
      </c>
      <c r="M51" s="2" t="s">
        <v>59</v>
      </c>
      <c r="N51" s="32" t="n">
        <f aca="false">(N11-N24-N25)/B16</f>
        <v>0.018114585181939</v>
      </c>
      <c r="O51" s="32" t="n">
        <f aca="false">(O11-O24-O25)/C16</f>
        <v>0.0461002105792681</v>
      </c>
      <c r="P51" s="32" t="n">
        <f aca="false">(P11-P24-P25)/D16</f>
        <v>0.17846760104835</v>
      </c>
      <c r="Q51" s="32" t="n">
        <f aca="false">(Q11-Q24-Q25)/E16</f>
        <v>0.496180117955733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0.0874437269339283</v>
      </c>
      <c r="C52" s="31" t="n">
        <f aca="false">I20/C16</f>
        <v>0.110489448528125</v>
      </c>
      <c r="D52" s="31" t="n">
        <f aca="false">J20/D16</f>
        <v>0.0401000684260583</v>
      </c>
      <c r="E52" s="31" t="n">
        <f aca="false">K20/E16</f>
        <v>-0.0225255084878793</v>
      </c>
      <c r="F52" s="31"/>
      <c r="G52" s="29" t="s">
        <v>61</v>
      </c>
      <c r="H52" s="31" t="n">
        <f aca="false">H16/H11</f>
        <v>0.0945608831444342</v>
      </c>
      <c r="I52" s="31" t="n">
        <f aca="false">I16/I11</f>
        <v>0.0847150819773505</v>
      </c>
      <c r="J52" s="31" t="n">
        <f aca="false">J16/J11</f>
        <v>0.0925744255367317</v>
      </c>
      <c r="K52" s="31" t="e">
        <f aca="false">K16/K11</f>
        <v>#DIV/0!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0.114326951215008</v>
      </c>
      <c r="C53" s="31" t="n">
        <f aca="false">I20/C20</f>
        <v>0.145894760877216</v>
      </c>
      <c r="D53" s="31" t="n">
        <f aca="false">J20/D20</f>
        <v>0.0556332499779048</v>
      </c>
      <c r="E53" s="31" t="n">
        <f aca="false">K20/E20</f>
        <v>-0.027556903601316</v>
      </c>
      <c r="G53" s="29" t="s">
        <v>11</v>
      </c>
      <c r="H53" s="31" t="n">
        <f aca="false">H17/H11</f>
        <v>0.172189593195702</v>
      </c>
      <c r="I53" s="31" t="n">
        <f aca="false">I17/I11</f>
        <v>0.167887027818613</v>
      </c>
      <c r="J53" s="31" t="n">
        <f aca="false">J17/J11</f>
        <v>0.291740557672716</v>
      </c>
      <c r="K53" s="31" t="e">
        <f aca="false">K17/K11</f>
        <v>#DIV/0!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7.72067075416513</v>
      </c>
      <c r="C54" s="30" t="n">
        <f aca="false">I11/C12</f>
        <v>3.62829665286475</v>
      </c>
      <c r="D54" s="30" t="n">
        <f aca="false">J11/D12</f>
        <v>2.15553326465326</v>
      </c>
      <c r="E54" s="30" t="n">
        <f aca="false">K11/E12</f>
        <v>0</v>
      </c>
      <c r="G54" s="29" t="s">
        <v>64</v>
      </c>
      <c r="H54" s="31" t="n">
        <f aca="false">H25/H22</f>
        <v>1.03464675109647</v>
      </c>
      <c r="I54" s="31" t="n">
        <f aca="false">I25/I22</f>
        <v>-0.333065865168845</v>
      </c>
      <c r="J54" s="31" t="n">
        <f aca="false">J25/J22</f>
        <v>0</v>
      </c>
      <c r="K54" s="31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0.235143367293352</v>
      </c>
      <c r="C55" s="31" t="n">
        <f aca="false">(C22-C20)/C16</f>
        <v>0.24267706486656</v>
      </c>
      <c r="D55" s="31" t="n">
        <f aca="false">(D22-D20)/D16</f>
        <v>0.279206797338204</v>
      </c>
      <c r="E55" s="31" t="n">
        <f aca="false">(E22-E20)/E16</f>
        <v>0.182582019599489</v>
      </c>
      <c r="G55" s="29" t="s">
        <v>66</v>
      </c>
      <c r="H55" s="31" t="n">
        <f aca="false">H22/H11</f>
        <v>0.318624548564245</v>
      </c>
      <c r="I55" s="31" t="n">
        <f aca="false">I22/I11</f>
        <v>0.413352484336747</v>
      </c>
      <c r="J55" s="31" t="n">
        <f aca="false">J22/J11</f>
        <v>0.317366587430354</v>
      </c>
      <c r="K55" s="31" t="e">
        <f aca="false">K22/K11</f>
        <v>#DIV/0!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0.307434566477163</v>
      </c>
      <c r="C56" s="31" t="n">
        <f aca="false">(C22-C20)/C20</f>
        <v>0.320440664884659</v>
      </c>
      <c r="D56" s="31" t="n">
        <f aca="false">(D22-D20)/D20</f>
        <v>0.387360474969976</v>
      </c>
      <c r="E56" s="31" t="n">
        <f aca="false">(E22-E20)/E20</f>
        <v>0.223364330094658</v>
      </c>
      <c r="G56" s="33" t="s">
        <v>68</v>
      </c>
      <c r="H56" s="34" t="n">
        <f aca="false">H13/B16</f>
        <v>0.163872963213803</v>
      </c>
      <c r="I56" s="34" t="n">
        <f aca="false">I13/C16</f>
        <v>0.174164131783893</v>
      </c>
      <c r="J56" s="34" t="n">
        <f aca="false">J13/D16</f>
        <v>0.0927499106264244</v>
      </c>
      <c r="K56" s="34" t="n">
        <f aca="false">K13/E16</f>
        <v>0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0.258132114491016</v>
      </c>
      <c r="C57" s="30" t="n">
        <f aca="false">I11/C16</f>
        <v>0.254216408605239</v>
      </c>
      <c r="D57" s="30" t="n">
        <f aca="false">J11/D16</f>
        <v>0.119178257751143</v>
      </c>
      <c r="E57" s="30" t="n">
        <f aca="false">K11/E16</f>
        <v>0</v>
      </c>
      <c r="G57" s="33" t="s">
        <v>70</v>
      </c>
      <c r="H57" s="35" t="n">
        <f aca="false">H25/$B$5</f>
        <v>47.7638640429338</v>
      </c>
      <c r="I57" s="35" t="n">
        <f aca="false">I25/$B$5</f>
        <v>-19.9138071231095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1.30743456647716</v>
      </c>
      <c r="C58" s="30" t="n">
        <f aca="false">C16/C20</f>
        <v>1.32044066488466</v>
      </c>
      <c r="D58" s="30" t="n">
        <f aca="false">D16/D20</f>
        <v>1.38736047496998</v>
      </c>
      <c r="E58" s="30" t="n">
        <f aca="false">E16/E20</f>
        <v>1.22336433009466</v>
      </c>
      <c r="G58" s="36" t="s">
        <v>72</v>
      </c>
      <c r="H58" s="37" t="n">
        <f aca="false">H22/$B$7/1000</f>
        <v>0.811042857142857</v>
      </c>
      <c r="I58" s="37" t="n">
        <f aca="false">I22/$B$7/1000</f>
        <v>1.05041428571429</v>
      </c>
      <c r="J58" s="37" t="n">
        <f aca="false">J22/$B$7/1000</f>
        <v>0.360478571428571</v>
      </c>
      <c r="K58" s="37" t="n">
        <f aca="false">K22/$B$7/1000</f>
        <v>-0.191292857142857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7.54227857142857</v>
      </c>
      <c r="I59" s="37" t="n">
        <f aca="false">C20/$B$7/1000</f>
        <v>7.57037857142857</v>
      </c>
      <c r="J59" s="37" t="n">
        <f aca="false">D20/$B$7/1000</f>
        <v>6.86960714285714</v>
      </c>
      <c r="K59" s="37" t="n">
        <f aca="false">E20/$B$7/1000</f>
        <v>6.50912857142857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11.7317944553944</v>
      </c>
      <c r="I60" s="38" t="n">
        <f aca="false">SQRT(22.5*I58*I59)</f>
        <v>13.3761265130497</v>
      </c>
      <c r="J60" s="38" t="n">
        <f aca="false">SQRT(22.5*J58*J59)</f>
        <v>7.46443492874609</v>
      </c>
      <c r="K60" s="38" t="e">
        <f aca="false">SQRT(22.5*K58*K59)</f>
        <v>#VALUE!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0.207660571428571</v>
      </c>
      <c r="I61" s="39" t="n">
        <f aca="false">I58-(C20*0.08/1000/$B$7)</f>
        <v>0.444784</v>
      </c>
      <c r="J61" s="39" t="n">
        <f aca="false">J58-(D20*0.08/1000/$B$7)</f>
        <v>-0.18909</v>
      </c>
      <c r="K61" s="39" t="n">
        <f aca="false">K58-(E20*0.08/1000/$B$7)</f>
        <v>-0.712023142857143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H25/B7/1000</f>
        <v>0.839142857142857</v>
      </c>
      <c r="I62" s="41" t="n">
        <f aca="false">I25/B7/1000</f>
        <v>-0.349857142857143</v>
      </c>
      <c r="J62" s="41" t="n">
        <v>5.8</v>
      </c>
      <c r="K62" s="41" t="n">
        <v>5.17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0.429305171572613</v>
      </c>
      <c r="I74" s="6" t="n">
        <f aca="false">I59*$B$7/$B$5</f>
        <v>0.430904618637177</v>
      </c>
      <c r="J74" s="6" t="n">
        <f aca="false">J59*$B$7/$B$5</f>
        <v>0.391016832005204</v>
      </c>
      <c r="K74" s="6" t="n">
        <f aca="false">K59*$B$7/$B$5</f>
        <v>0.370498455033339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0.069376226634646</v>
      </c>
      <c r="I77" s="28" t="n">
        <f aca="false">(I15-I16)/$B$6</f>
        <v>0.0816826750703642</v>
      </c>
      <c r="J77" s="28" t="n">
        <f aca="false">(J15-J16)/$B$6</f>
        <v>0.0427995712803561</v>
      </c>
      <c r="K77" s="28" t="n">
        <f aca="false">(K15-K16)/$B$6</f>
        <v>0.00055971307941639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0:Q10 A1"/>
    </sheetView>
  </sheetViews>
  <sheetFormatPr defaultRowHeight="15"/>
  <cols>
    <col collapsed="false" hidden="false" max="12" min="1" style="0" width="15.1351351351351"/>
    <col collapsed="false" hidden="false" max="13" min="13" style="0" width="31.8513513513513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68" t="n">
        <v>9277.8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10014935</v>
      </c>
      <c r="M6" s="6"/>
    </row>
    <row r="7" customFormat="false" ht="15" hidden="false" customHeight="false" outlineLevel="0" collapsed="false">
      <c r="A7" s="2"/>
      <c r="B7" s="2" t="n">
        <v>140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525341</v>
      </c>
      <c r="C11" s="56" t="n">
        <v>346343</v>
      </c>
      <c r="D11" s="56" t="n">
        <v>251031</v>
      </c>
      <c r="E11" s="56" t="n">
        <v>503881</v>
      </c>
      <c r="G11" s="25" t="s">
        <v>7</v>
      </c>
      <c r="H11" s="56" t="n">
        <v>2047274</v>
      </c>
      <c r="I11" s="56" t="n">
        <v>1878346</v>
      </c>
      <c r="J11" s="56" t="n">
        <v>1775144</v>
      </c>
      <c r="K11" s="56" t="n">
        <v>1805272</v>
      </c>
      <c r="M11" s="25" t="s">
        <v>8</v>
      </c>
      <c r="N11" s="56" t="n">
        <v>1038612</v>
      </c>
      <c r="O11" s="56" t="n">
        <v>1045419</v>
      </c>
      <c r="P11" s="56" t="n">
        <v>1006093</v>
      </c>
      <c r="Q11" s="56" t="n">
        <v>1000201</v>
      </c>
    </row>
    <row r="12" customFormat="false" ht="15" hidden="false" customHeight="false" outlineLevel="0" collapsed="false">
      <c r="A12" s="25" t="s">
        <v>9</v>
      </c>
      <c r="B12" s="56" t="n">
        <v>519043</v>
      </c>
      <c r="C12" s="56" t="n">
        <v>620957</v>
      </c>
      <c r="D12" s="56" t="n">
        <v>684761</v>
      </c>
      <c r="E12" s="56" t="n">
        <v>170816</v>
      </c>
      <c r="G12" s="25" t="s">
        <v>10</v>
      </c>
      <c r="H12" s="56" t="n">
        <v>937915</v>
      </c>
      <c r="I12" s="56" t="n">
        <v>883208</v>
      </c>
      <c r="J12" s="56" t="n">
        <v>762293</v>
      </c>
      <c r="K12" s="56" t="n">
        <v>754361</v>
      </c>
      <c r="M12" s="25" t="s">
        <v>11</v>
      </c>
      <c r="N12" s="56" t="n">
        <v>169198</v>
      </c>
      <c r="O12" s="56" t="n">
        <v>162961</v>
      </c>
      <c r="P12" s="56" t="n">
        <v>149963</v>
      </c>
      <c r="Q12" s="56" t="n">
        <v>148648</v>
      </c>
    </row>
    <row r="13" customFormat="false" ht="15" hidden="false" customHeight="false" outlineLevel="0" collapsed="false">
      <c r="A13" s="25" t="s">
        <v>12</v>
      </c>
      <c r="B13" s="57"/>
      <c r="C13" s="57"/>
      <c r="D13" s="56" t="n">
        <v>117611</v>
      </c>
      <c r="E13" s="56" t="n">
        <v>116749</v>
      </c>
      <c r="G13" s="25" t="s">
        <v>13</v>
      </c>
      <c r="H13" s="56" t="n">
        <v>1109359</v>
      </c>
      <c r="I13" s="56" t="n">
        <v>995138</v>
      </c>
      <c r="J13" s="56" t="n">
        <v>1012851</v>
      </c>
      <c r="K13" s="56" t="n">
        <v>1050911</v>
      </c>
      <c r="M13" s="25" t="s">
        <v>14</v>
      </c>
      <c r="N13" s="58" t="n">
        <v>-3241</v>
      </c>
      <c r="O13" s="58" t="n">
        <v>-12469</v>
      </c>
      <c r="P13" s="56" t="n">
        <v>1800</v>
      </c>
      <c r="Q13" s="56" t="n">
        <v>34245</v>
      </c>
    </row>
    <row r="14" customFormat="false" ht="15" hidden="false" customHeight="false" outlineLevel="0" collapsed="false">
      <c r="A14" s="25" t="s">
        <v>15</v>
      </c>
      <c r="B14" s="56" t="n">
        <v>3354570</v>
      </c>
      <c r="C14" s="56" t="n">
        <v>2922241</v>
      </c>
      <c r="D14" s="56" t="n">
        <v>2322691</v>
      </c>
      <c r="E14" s="56" t="n">
        <v>2372999</v>
      </c>
      <c r="G14" s="25" t="s">
        <v>16</v>
      </c>
      <c r="H14" s="56" t="n">
        <v>12517</v>
      </c>
      <c r="I14" s="56" t="n">
        <v>124253</v>
      </c>
      <c r="J14" s="56" t="n">
        <v>58911</v>
      </c>
      <c r="K14" s="56" t="n">
        <v>15897</v>
      </c>
      <c r="M14" s="25" t="s">
        <v>9</v>
      </c>
      <c r="N14" s="56" t="n">
        <v>101913</v>
      </c>
      <c r="O14" s="56" t="n">
        <v>63804</v>
      </c>
      <c r="P14" s="58" t="n">
        <v>-243703</v>
      </c>
      <c r="Q14" s="56" t="n">
        <v>4710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1121876</v>
      </c>
      <c r="I15" s="56" t="n">
        <v>1119391</v>
      </c>
      <c r="J15" s="56" t="n">
        <v>1071762</v>
      </c>
      <c r="K15" s="56" t="n">
        <v>1066808</v>
      </c>
      <c r="M15" s="25" t="s">
        <v>19</v>
      </c>
      <c r="N15" s="58" t="n">
        <v>-21631</v>
      </c>
      <c r="O15" s="56" t="n">
        <v>73837</v>
      </c>
      <c r="P15" s="58" t="n">
        <v>-89416</v>
      </c>
      <c r="Q15" s="57"/>
    </row>
    <row r="16" customFormat="false" ht="15" hidden="false" customHeight="false" outlineLevel="0" collapsed="false">
      <c r="A16" s="25" t="s">
        <v>20</v>
      </c>
      <c r="B16" s="56" t="n">
        <v>4398954</v>
      </c>
      <c r="C16" s="56" t="n">
        <v>3889541</v>
      </c>
      <c r="D16" s="56" t="n">
        <v>3376094</v>
      </c>
      <c r="E16" s="56" t="n">
        <v>3164445</v>
      </c>
      <c r="G16" s="25" t="s">
        <v>21</v>
      </c>
      <c r="H16" s="56" t="n">
        <v>56326</v>
      </c>
      <c r="I16" s="56" t="n">
        <v>46700</v>
      </c>
      <c r="J16" s="56" t="n">
        <v>39520</v>
      </c>
      <c r="K16" s="56" t="n">
        <v>40396</v>
      </c>
      <c r="M16" s="25" t="s">
        <v>22</v>
      </c>
      <c r="N16" s="56" t="n">
        <v>29282</v>
      </c>
      <c r="O16" s="58" t="n">
        <v>-40016</v>
      </c>
      <c r="P16" s="56" t="n">
        <v>41638</v>
      </c>
      <c r="Q16" s="56" t="n">
        <v>69705</v>
      </c>
    </row>
    <row r="17" customFormat="false" ht="15" hidden="false" customHeight="false" outlineLevel="0" collapsed="false">
      <c r="A17" s="25" t="s">
        <v>23</v>
      </c>
      <c r="B17" s="56" t="n">
        <v>632868</v>
      </c>
      <c r="C17" s="56" t="n">
        <v>325915</v>
      </c>
      <c r="D17" s="56" t="n">
        <v>517353</v>
      </c>
      <c r="E17" s="56" t="n">
        <v>336663</v>
      </c>
      <c r="G17" s="25" t="s">
        <v>11</v>
      </c>
      <c r="H17" s="57"/>
      <c r="I17" s="59"/>
      <c r="J17" s="57"/>
      <c r="K17" s="57"/>
      <c r="M17" s="25" t="s">
        <v>24</v>
      </c>
      <c r="N17" s="56" t="n">
        <v>3106</v>
      </c>
      <c r="O17" s="58" t="n">
        <v>-104186</v>
      </c>
      <c r="P17" s="56" t="n">
        <v>6695</v>
      </c>
      <c r="Q17" s="58" t="n">
        <v>-7004</v>
      </c>
    </row>
    <row r="18" customFormat="false" ht="15" hidden="false" customHeight="false" outlineLevel="0" collapsed="false">
      <c r="A18" s="25" t="s">
        <v>25</v>
      </c>
      <c r="B18" s="56" t="n">
        <v>538297</v>
      </c>
      <c r="C18" s="56" t="n">
        <v>602650</v>
      </c>
      <c r="D18" s="56" t="n">
        <v>97144</v>
      </c>
      <c r="E18" s="56" t="n">
        <v>91341</v>
      </c>
      <c r="G18" s="25" t="s">
        <v>26</v>
      </c>
      <c r="H18" s="57"/>
      <c r="I18" s="57"/>
      <c r="J18" s="57"/>
      <c r="K18" s="57"/>
      <c r="M18" s="25" t="s">
        <v>27</v>
      </c>
      <c r="N18" s="58" t="n">
        <v>-603944</v>
      </c>
      <c r="O18" s="58" t="n">
        <v>-763978</v>
      </c>
      <c r="P18" s="58" t="n">
        <v>-373378</v>
      </c>
      <c r="Q18" s="58" t="n">
        <v>-69608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56326</v>
      </c>
      <c r="I19" s="56" t="n">
        <v>46700</v>
      </c>
      <c r="J19" s="56" t="n">
        <v>39520</v>
      </c>
      <c r="K19" s="56" t="n">
        <v>40396</v>
      </c>
      <c r="M19" s="25" t="s">
        <v>30</v>
      </c>
      <c r="N19" s="56" t="n">
        <v>5659</v>
      </c>
      <c r="O19" s="56" t="n">
        <v>226831</v>
      </c>
      <c r="P19" s="56" t="n">
        <v>3638</v>
      </c>
      <c r="Q19" s="58" t="n">
        <v>-336067</v>
      </c>
    </row>
    <row r="20" customFormat="false" ht="15" hidden="false" customHeight="false" outlineLevel="0" collapsed="false">
      <c r="A20" s="25" t="s">
        <v>31</v>
      </c>
      <c r="B20" s="56" t="n">
        <v>3227789</v>
      </c>
      <c r="C20" s="56" t="n">
        <v>2960976</v>
      </c>
      <c r="D20" s="56" t="n">
        <v>2761597</v>
      </c>
      <c r="E20" s="56" t="n">
        <v>2736441</v>
      </c>
      <c r="G20" s="25" t="s">
        <v>32</v>
      </c>
      <c r="H20" s="56" t="n">
        <v>1065550</v>
      </c>
      <c r="I20" s="56" t="n">
        <v>1072691</v>
      </c>
      <c r="J20" s="56" t="n">
        <v>1032242</v>
      </c>
      <c r="K20" s="56" t="n">
        <v>1026412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26938</v>
      </c>
      <c r="I21" s="56" t="n">
        <v>27272</v>
      </c>
      <c r="J21" s="56" t="n">
        <v>26150</v>
      </c>
      <c r="K21" s="56" t="n">
        <v>26211</v>
      </c>
      <c r="M21" s="25" t="s">
        <v>36</v>
      </c>
      <c r="N21" s="58" t="n">
        <v>-564259</v>
      </c>
      <c r="O21" s="58" t="n">
        <v>-467890</v>
      </c>
      <c r="P21" s="58" t="n">
        <v>-843795</v>
      </c>
      <c r="Q21" s="58" t="n">
        <v>-908128</v>
      </c>
    </row>
    <row r="22" customFormat="false" ht="15" hidden="false" customHeight="false" outlineLevel="0" collapsed="false">
      <c r="A22" s="25" t="s">
        <v>37</v>
      </c>
      <c r="B22" s="56" t="n">
        <v>4398954</v>
      </c>
      <c r="C22" s="56" t="n">
        <v>3889541</v>
      </c>
      <c r="D22" s="56" t="n">
        <v>3376094</v>
      </c>
      <c r="E22" s="56" t="n">
        <v>3164445</v>
      </c>
      <c r="G22" s="25" t="s">
        <v>8</v>
      </c>
      <c r="H22" s="56" t="n">
        <v>1038612</v>
      </c>
      <c r="I22" s="56" t="n">
        <v>1045419</v>
      </c>
      <c r="J22" s="56" t="n">
        <v>1006092</v>
      </c>
      <c r="K22" s="56" t="n">
        <v>1000201</v>
      </c>
      <c r="M22" s="25" t="s">
        <v>38</v>
      </c>
      <c r="N22" s="56" t="n">
        <v>279335</v>
      </c>
      <c r="O22" s="56" t="n">
        <v>94942</v>
      </c>
      <c r="P22" s="56" t="n">
        <v>435407</v>
      </c>
      <c r="Q22" s="56" t="n">
        <v>498705</v>
      </c>
    </row>
    <row r="23" customFormat="false" ht="15" hidden="false" customHeight="false" outlineLevel="0" collapsed="false">
      <c r="G23" s="25" t="s">
        <v>39</v>
      </c>
      <c r="H23" s="56" t="n">
        <v>860977</v>
      </c>
      <c r="I23" s="56" t="n">
        <v>657357</v>
      </c>
      <c r="J23" s="56" t="n">
        <v>73065</v>
      </c>
      <c r="K23" s="56" t="n">
        <v>54663</v>
      </c>
      <c r="M23" s="25" t="s">
        <v>40</v>
      </c>
      <c r="N23" s="56" t="n">
        <v>434030</v>
      </c>
      <c r="O23" s="56" t="n">
        <v>279255</v>
      </c>
      <c r="P23" s="56" t="n">
        <v>94942</v>
      </c>
      <c r="Q23" s="56" t="n">
        <v>435407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1317239</v>
      </c>
      <c r="O24" s="12" t="n">
        <f aca="false">SUM(O11:O17)</f>
        <v>1189350</v>
      </c>
      <c r="P24" s="12" t="n">
        <f aca="false">SUM(P11:P17)</f>
        <v>873070</v>
      </c>
      <c r="Q24" s="12" t="n">
        <f aca="false">SUM(Q11:Q17)</f>
        <v>1250505</v>
      </c>
    </row>
    <row r="25" customFormat="false" ht="15" hidden="false" customHeight="false" outlineLevel="0" collapsed="false">
      <c r="G25" s="25" t="s">
        <v>43</v>
      </c>
      <c r="H25" s="56" t="n">
        <v>770000</v>
      </c>
      <c r="I25" s="56" t="n">
        <v>840000</v>
      </c>
      <c r="J25" s="56" t="n">
        <v>420000</v>
      </c>
      <c r="K25" s="56" t="n">
        <v>980000</v>
      </c>
      <c r="M25" s="2" t="s">
        <v>44</v>
      </c>
      <c r="N25" s="12" t="n">
        <f aca="false">N18+N19</f>
        <v>-598285</v>
      </c>
      <c r="O25" s="12" t="n">
        <f aca="false">O18+O19</f>
        <v>-537147</v>
      </c>
      <c r="P25" s="12" t="n">
        <f aca="false">P18+P19</f>
        <v>-369740</v>
      </c>
      <c r="Q25" s="12" t="n">
        <f aca="false">Q18+Q19</f>
        <v>-405675</v>
      </c>
    </row>
    <row r="26" customFormat="false" ht="15" hidden="false" customHeight="false" outlineLevel="0" collapsed="false">
      <c r="G26" s="25" t="s">
        <v>45</v>
      </c>
      <c r="H26" s="56" t="n">
        <v>1800</v>
      </c>
      <c r="I26" s="56" t="n">
        <v>1800</v>
      </c>
      <c r="J26" s="56" t="n">
        <v>1800</v>
      </c>
      <c r="K26" s="56" t="n">
        <v>1800</v>
      </c>
      <c r="M26" s="2" t="s">
        <v>46</v>
      </c>
      <c r="N26" s="12" t="n">
        <f aca="false">N20+N21</f>
        <v>-564259</v>
      </c>
      <c r="O26" s="12" t="n">
        <f aca="false">O20+O21</f>
        <v>-467890</v>
      </c>
      <c r="P26" s="12" t="n">
        <f aca="false">P20+P21</f>
        <v>-843795</v>
      </c>
      <c r="Q26" s="12" t="n">
        <f aca="false">Q20+Q21</f>
        <v>-908128</v>
      </c>
    </row>
    <row r="27" customFormat="false" ht="15" hidden="false" customHeight="false" outlineLevel="0" collapsed="false">
      <c r="G27" s="25" t="s">
        <v>47</v>
      </c>
      <c r="H27" s="56" t="n">
        <v>1127789</v>
      </c>
      <c r="I27" s="56" t="n">
        <v>860976</v>
      </c>
      <c r="J27" s="56" t="n">
        <v>657357</v>
      </c>
      <c r="K27" s="56" t="n">
        <v>73064</v>
      </c>
      <c r="M27" s="2" t="s">
        <v>48</v>
      </c>
      <c r="N27" s="12" t="n">
        <f aca="false">N24+N25+N26</f>
        <v>154695</v>
      </c>
      <c r="O27" s="12" t="n">
        <f aca="false">O24+O25+O26</f>
        <v>184313</v>
      </c>
      <c r="P27" s="12" t="n">
        <f aca="false">P24+P25+P26</f>
        <v>-340465</v>
      </c>
      <c r="Q27" s="12" t="n">
        <f aca="false">Q24+Q25+Q26</f>
        <v>-63298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0.119424072177158</v>
      </c>
      <c r="C30" s="24" t="n">
        <f aca="false">C11/C$16</f>
        <v>0.0890446970478008</v>
      </c>
      <c r="D30" s="24" t="n">
        <f aca="false">D11/D$16</f>
        <v>0.07435545337304</v>
      </c>
      <c r="E30" s="24" t="n">
        <f aca="false">E11/E$16</f>
        <v>0.159232029629208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0.507314604688967</v>
      </c>
      <c r="O30" s="26" t="n">
        <f aca="false">O11/I$11</f>
        <v>0.556563593714896</v>
      </c>
      <c r="P30" s="26" t="n">
        <f aca="false">P11/J$11</f>
        <v>0.566766977777577</v>
      </c>
      <c r="Q30" s="26" t="n">
        <f aca="false">Q11/K$11</f>
        <v>0.554044487478895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0.11799236818571</v>
      </c>
      <c r="C31" s="24" t="n">
        <f aca="false">C12/C$16</f>
        <v>0.15964788647298</v>
      </c>
      <c r="D31" s="24" t="n">
        <f aca="false">D12/D$16</f>
        <v>0.202826402345432</v>
      </c>
      <c r="E31" s="24" t="n">
        <f aca="false">E12/E$16</f>
        <v>0.0539797658041142</v>
      </c>
      <c r="F31" s="6"/>
      <c r="G31" s="25" t="s">
        <v>10</v>
      </c>
      <c r="H31" s="24" t="n">
        <f aca="false">H12/H$11</f>
        <v>0.458128711642897</v>
      </c>
      <c r="I31" s="24" t="n">
        <f aca="false">I12/I$11</f>
        <v>0.470205169867532</v>
      </c>
      <c r="J31" s="24" t="n">
        <f aca="false">J12/J$11</f>
        <v>0.429426007129562</v>
      </c>
      <c r="K31" s="24" t="n">
        <f aca="false">K12/K$11</f>
        <v>0.417865562640976</v>
      </c>
      <c r="L31" s="6"/>
      <c r="M31" s="25" t="s">
        <v>11</v>
      </c>
      <c r="N31" s="26" t="n">
        <f aca="false">N12/H$11</f>
        <v>0.0826455081244621</v>
      </c>
      <c r="O31" s="26" t="n">
        <f aca="false">O12/I$11</f>
        <v>0.0867577113055848</v>
      </c>
      <c r="P31" s="26" t="n">
        <f aca="false">P12/J$11</f>
        <v>0.0844793436476139</v>
      </c>
      <c r="Q31" s="26" t="n">
        <f aca="false">Q12/K$11</f>
        <v>0.0823410544228238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0.0348364115454131</v>
      </c>
      <c r="E32" s="24" t="n">
        <f aca="false">E13/E$16</f>
        <v>0.0368939893093418</v>
      </c>
      <c r="F32" s="6"/>
      <c r="G32" s="25" t="s">
        <v>13</v>
      </c>
      <c r="H32" s="24" t="n">
        <f aca="false">H13/H$11</f>
        <v>0.541871288357103</v>
      </c>
      <c r="I32" s="24" t="n">
        <f aca="false">I13/I$11</f>
        <v>0.529794830132468</v>
      </c>
      <c r="J32" s="24" t="n">
        <f aca="false">J13/J$11</f>
        <v>0.570573992870438</v>
      </c>
      <c r="K32" s="24" t="n">
        <f aca="false">K13/K$11</f>
        <v>0.582134437359024</v>
      </c>
      <c r="L32" s="6"/>
      <c r="M32" s="25" t="s">
        <v>14</v>
      </c>
      <c r="N32" s="26" t="n">
        <f aca="false">N13/H$11</f>
        <v>-0.00158308072099778</v>
      </c>
      <c r="O32" s="26" t="n">
        <f aca="false">O13/I$11</f>
        <v>-0.00663828708874723</v>
      </c>
      <c r="P32" s="26" t="n">
        <f aca="false">P13/J$11</f>
        <v>0.00101400224432497</v>
      </c>
      <c r="Q32" s="26" t="n">
        <f aca="false">Q13/K$11</f>
        <v>0.0189694406161509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0.762583559637132</v>
      </c>
      <c r="C33" s="24" t="n">
        <f aca="false">C14/C$16</f>
        <v>0.751307416479219</v>
      </c>
      <c r="D33" s="24" t="n">
        <f aca="false">D14/D$16</f>
        <v>0.687981732736115</v>
      </c>
      <c r="E33" s="24" t="n">
        <f aca="false">E14/E$16</f>
        <v>0.749894215257336</v>
      </c>
      <c r="F33" s="6"/>
      <c r="G33" s="25" t="s">
        <v>16</v>
      </c>
      <c r="H33" s="24" t="n">
        <f aca="false">H14/H$11</f>
        <v>0.00611398376572945</v>
      </c>
      <c r="I33" s="24" t="n">
        <f aca="false">I14/I$11</f>
        <v>0.0661502193951487</v>
      </c>
      <c r="J33" s="24" t="n">
        <f aca="false">J14/J$11</f>
        <v>0.0331866034530156</v>
      </c>
      <c r="K33" s="24" t="n">
        <f aca="false">K14/K$11</f>
        <v>0.00880587523652945</v>
      </c>
      <c r="L33" s="6"/>
      <c r="M33" s="25" t="s">
        <v>9</v>
      </c>
      <c r="N33" s="26" t="n">
        <f aca="false">N14/H$11</f>
        <v>0.0497798536004463</v>
      </c>
      <c r="O33" s="26" t="n">
        <f aca="false">O14/I$11</f>
        <v>0.0339681826457958</v>
      </c>
      <c r="P33" s="26" t="n">
        <f aca="false">P14/J$11</f>
        <v>-0.137286327193738</v>
      </c>
      <c r="Q33" s="26" t="n">
        <f aca="false">Q14/K$11</f>
        <v>0.00260902512197608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0.547985272122833</v>
      </c>
      <c r="I34" s="24" t="n">
        <f aca="false">I15/I$11</f>
        <v>0.595945049527616</v>
      </c>
      <c r="J34" s="24" t="n">
        <f aca="false">J15/J$11</f>
        <v>0.603760596323453</v>
      </c>
      <c r="K34" s="24" t="n">
        <f aca="false">K15/K$11</f>
        <v>0.590940312595553</v>
      </c>
      <c r="L34" s="6"/>
      <c r="M34" s="25" t="s">
        <v>19</v>
      </c>
      <c r="N34" s="26" t="n">
        <f aca="false">N15/H$11</f>
        <v>-0.0105657571971314</v>
      </c>
      <c r="O34" s="26" t="n">
        <f aca="false">O15/I$11</f>
        <v>0.0393095840702405</v>
      </c>
      <c r="P34" s="26" t="n">
        <f aca="false">P15/J$11</f>
        <v>-0.0503711248214229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0.0275126827185809</v>
      </c>
      <c r="I35" s="24" t="n">
        <f aca="false">I16/I$11</f>
        <v>0.0248622990652414</v>
      </c>
      <c r="J35" s="24" t="n">
        <f aca="false">J16/J$11</f>
        <v>0.0222629826087348</v>
      </c>
      <c r="K35" s="24" t="n">
        <f aca="false">K16/K$11</f>
        <v>0.0223766834028335</v>
      </c>
      <c r="L35" s="6"/>
      <c r="M35" s="25" t="s">
        <v>22</v>
      </c>
      <c r="N35" s="26" t="n">
        <f aca="false">N16/H$11</f>
        <v>0.0143029218365495</v>
      </c>
      <c r="O35" s="26" t="n">
        <f aca="false">O16/I$11</f>
        <v>-0.0213038492375739</v>
      </c>
      <c r="P35" s="26" t="n">
        <f aca="false">P16/J$11</f>
        <v>0.0234561252495572</v>
      </c>
      <c r="Q35" s="26" t="n">
        <f aca="false">Q16/K$11</f>
        <v>0.0386119100058052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0.143867837672319</v>
      </c>
      <c r="C36" s="24" t="n">
        <f aca="false">C17/C$16</f>
        <v>0.0837926634530913</v>
      </c>
      <c r="D36" s="24" t="n">
        <f aca="false">D17/D$16</f>
        <v>0.153240105281429</v>
      </c>
      <c r="E36" s="24" t="n">
        <f aca="false">E17/E$16</f>
        <v>0.106389272052445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0.00151713937655634</v>
      </c>
      <c r="O36" s="26" t="n">
        <f aca="false">O17/I$11</f>
        <v>-0.0554668841629817</v>
      </c>
      <c r="P36" s="26" t="n">
        <f aca="false">P17/J$11</f>
        <v>0.0037715250143087</v>
      </c>
      <c r="Q36" s="26" t="n">
        <f aca="false">Q17/K$11</f>
        <v>-0.00387974776100222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0.122369317796913</v>
      </c>
      <c r="C37" s="24" t="n">
        <f aca="false">C18/C$16</f>
        <v>0.154941161437815</v>
      </c>
      <c r="D37" s="24" t="n">
        <f aca="false">D18/D$16</f>
        <v>0.0287740803425497</v>
      </c>
      <c r="E37" s="24" t="n">
        <f aca="false">E18/E$16</f>
        <v>0.0288647772358186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-0.294999106128442</v>
      </c>
      <c r="O37" s="26" t="n">
        <f aca="false">O18/I$11</f>
        <v>-0.406729111675911</v>
      </c>
      <c r="P37" s="26" t="n">
        <f aca="false">P18/J$11</f>
        <v>-0.210336738878649</v>
      </c>
      <c r="Q37" s="26" t="n">
        <f aca="false">Q18/K$11</f>
        <v>-0.0385581784905543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0.0275126827185809</v>
      </c>
      <c r="I38" s="24" t="n">
        <f aca="false">I19/I$11</f>
        <v>0.0248622990652414</v>
      </c>
      <c r="J38" s="24" t="n">
        <f aca="false">J19/J$11</f>
        <v>0.0222629826087348</v>
      </c>
      <c r="K38" s="24" t="n">
        <f aca="false">K19/K$11</f>
        <v>0.0223766834028335</v>
      </c>
      <c r="L38" s="6"/>
      <c r="M38" s="25" t="s">
        <v>30</v>
      </c>
      <c r="N38" s="26" t="n">
        <f aca="false">N19/H$11</f>
        <v>0.00276416346810442</v>
      </c>
      <c r="O38" s="26" t="n">
        <f aca="false">O19/I$11</f>
        <v>0.120761031247704</v>
      </c>
      <c r="P38" s="26" t="n">
        <f aca="false">P19/J$11</f>
        <v>0.00204941120269679</v>
      </c>
      <c r="Q38" s="26" t="n">
        <f aca="false">Q19/K$11</f>
        <v>-0.186158650884742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0.733762844530768</v>
      </c>
      <c r="C39" s="24" t="n">
        <f aca="false">C20/C$16</f>
        <v>0.761266175109094</v>
      </c>
      <c r="D39" s="24" t="n">
        <f aca="false">D20/D$16</f>
        <v>0.817985814376021</v>
      </c>
      <c r="E39" s="24" t="n">
        <f aca="false">E20/E$16</f>
        <v>0.864745950711736</v>
      </c>
      <c r="F39" s="6"/>
      <c r="G39" s="25" t="s">
        <v>32</v>
      </c>
      <c r="H39" s="24" t="n">
        <f aca="false">H20/H$11</f>
        <v>0.520472589404252</v>
      </c>
      <c r="I39" s="24" t="n">
        <f aca="false">I20/I$11</f>
        <v>0.571082750462375</v>
      </c>
      <c r="J39" s="24" t="n">
        <f aca="false">J20/J$11</f>
        <v>0.581497613714718</v>
      </c>
      <c r="K39" s="24" t="n">
        <f aca="false">K20/K$11</f>
        <v>0.56856362919272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0.0131579847152848</v>
      </c>
      <c r="I40" s="24" t="n">
        <f aca="false">I21/I$11</f>
        <v>0.0145191567474789</v>
      </c>
      <c r="J40" s="24" t="n">
        <f aca="false">J21/J$11</f>
        <v>0.0147311992717211</v>
      </c>
      <c r="K40" s="24" t="n">
        <f aca="false">K21/K$11</f>
        <v>0.0145191417138248</v>
      </c>
      <c r="L40" s="6"/>
      <c r="M40" s="25" t="s">
        <v>36</v>
      </c>
      <c r="N40" s="26" t="n">
        <f aca="false">N21/H$11</f>
        <v>-0.275614793134676</v>
      </c>
      <c r="O40" s="26" t="n">
        <f aca="false">O21/I$11</f>
        <v>-0.249096811769504</v>
      </c>
      <c r="P40" s="26" t="n">
        <f aca="false">P21/J$11</f>
        <v>-0.475338902083437</v>
      </c>
      <c r="Q40" s="26" t="n">
        <f aca="false">Q21/K$11</f>
        <v>-0.503042200842865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0.507314604688967</v>
      </c>
      <c r="I41" s="24" t="n">
        <f aca="false">I22/I$11</f>
        <v>0.556563593714896</v>
      </c>
      <c r="J41" s="24" t="n">
        <f aca="false">J22/J$11</f>
        <v>0.566766414442997</v>
      </c>
      <c r="K41" s="24" t="n">
        <f aca="false">K22/K$11</f>
        <v>0.554044487478895</v>
      </c>
      <c r="L41" s="6"/>
      <c r="M41" s="25" t="s">
        <v>38</v>
      </c>
      <c r="N41" s="26" t="n">
        <f aca="false">N22/H$11</f>
        <v>0.1364424107374</v>
      </c>
      <c r="O41" s="26" t="n">
        <f aca="false">O22/I$11</f>
        <v>0.0505455331445857</v>
      </c>
      <c r="P41" s="26" t="n">
        <f aca="false">P22/J$11</f>
        <v>0.245279819552667</v>
      </c>
      <c r="Q41" s="26" t="n">
        <f aca="false">Q22/K$11</f>
        <v>0.276249230032926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0.420548006764117</v>
      </c>
      <c r="I42" s="24" t="n">
        <f aca="false">I23/I$11</f>
        <v>0.349965874231904</v>
      </c>
      <c r="J42" s="24" t="n">
        <f aca="false">J23/J$11</f>
        <v>0.041160041100891</v>
      </c>
      <c r="K42" s="24" t="n">
        <f aca="false">K23/K$11</f>
        <v>0.0302796476098893</v>
      </c>
      <c r="L42" s="6"/>
      <c r="M42" s="25" t="s">
        <v>40</v>
      </c>
      <c r="N42" s="26" t="n">
        <f aca="false">N23/H$11</f>
        <v>0.212003864651239</v>
      </c>
      <c r="O42" s="26" t="n">
        <f aca="false">O23/I$11</f>
        <v>0.14867069219409</v>
      </c>
      <c r="P42" s="26" t="n">
        <f aca="false">P23/J$11</f>
        <v>0.0534841117115006</v>
      </c>
      <c r="Q42" s="26" t="n">
        <f aca="false">Q23/K$11</f>
        <v>0.241186369699414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0.643411189708852</v>
      </c>
      <c r="O43" s="26" t="n">
        <f aca="false">O24/I11</f>
        <v>0.633190051247214</v>
      </c>
      <c r="P43" s="26" t="n">
        <f aca="false">P24/J11</f>
        <v>0.491830521918222</v>
      </c>
      <c r="Q43" s="26" t="n">
        <f aca="false">Q24/K11</f>
        <v>0.692696169884649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0.37610989051783</v>
      </c>
      <c r="I44" s="24" t="n">
        <f aca="false">I25/I$11</f>
        <v>0.447201953207769</v>
      </c>
      <c r="J44" s="24" t="n">
        <f aca="false">J25/J$11</f>
        <v>0.236600523675826</v>
      </c>
      <c r="K44" s="24" t="n">
        <f aca="false">K25/K$11</f>
        <v>0.542854483978038</v>
      </c>
      <c r="L44" s="6"/>
      <c r="M44" s="2" t="s">
        <v>50</v>
      </c>
      <c r="N44" s="26" t="n">
        <f aca="false">N24/B16</f>
        <v>0.299443685930792</v>
      </c>
      <c r="O44" s="26" t="n">
        <f aca="false">O24/C16</f>
        <v>0.305781581939874</v>
      </c>
      <c r="P44" s="26" t="n">
        <f aca="false">P24/D16</f>
        <v>0.258603581535348</v>
      </c>
      <c r="Q44" s="26" t="n">
        <f aca="false">Q24/E16</f>
        <v>0.395173561240597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0.000879217925885837</v>
      </c>
      <c r="I45" s="24" t="n">
        <f aca="false">I26/I$11</f>
        <v>0.000958289899730933</v>
      </c>
      <c r="J45" s="24" t="n">
        <f aca="false">J26/J$11</f>
        <v>0.00101400224432497</v>
      </c>
      <c r="K45" s="24" t="n">
        <f aca="false">K26/K$11</f>
        <v>0.000997079664449457</v>
      </c>
      <c r="L45" s="6"/>
      <c r="M45" s="2" t="s">
        <v>51</v>
      </c>
      <c r="N45" s="26" t="n">
        <f aca="false">N24/B20</f>
        <v>0.408093279951075</v>
      </c>
      <c r="O45" s="26" t="n">
        <f aca="false">O24/C20</f>
        <v>0.401674988247119</v>
      </c>
      <c r="P45" s="26" t="n">
        <f aca="false">P24/D20</f>
        <v>0.316146780286914</v>
      </c>
      <c r="Q45" s="26" t="n">
        <f aca="false">Q24/E20</f>
        <v>0.456982262727389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0.550873503009368</v>
      </c>
      <c r="I46" s="24" t="n">
        <f aca="false">I27/I$11</f>
        <v>0.4583692248393</v>
      </c>
      <c r="J46" s="24" t="n">
        <f aca="false">J27/J$11</f>
        <v>0.370311929623738</v>
      </c>
      <c r="K46" s="24" t="n">
        <f aca="false">K27/K$11</f>
        <v>0.0404725714462973</v>
      </c>
      <c r="L46" s="6"/>
      <c r="M46" s="2" t="s">
        <v>52</v>
      </c>
      <c r="N46" s="26" t="n">
        <f aca="false">N24/H22</f>
        <v>1.26826861234032</v>
      </c>
      <c r="O46" s="26" t="n">
        <f aca="false">O24/I22</f>
        <v>1.13767781148037</v>
      </c>
      <c r="P46" s="26" t="n">
        <f aca="false">P24/J22</f>
        <v>0.867783463142536</v>
      </c>
      <c r="Q46" s="26" t="n">
        <f aca="false">Q24/K22</f>
        <v>1.2502536990065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1.12472538028373</v>
      </c>
      <c r="O47" s="26" t="n">
        <f aca="false">O24/(C22-C20)</f>
        <v>1.28084732894305</v>
      </c>
      <c r="P47" s="26" t="n">
        <f aca="false">P24/(D22-D20)</f>
        <v>1.42078805917686</v>
      </c>
      <c r="Q47" s="26" t="n">
        <f aca="false">Q24/(E22-E20)</f>
        <v>2.92171334847338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1.7107</v>
      </c>
      <c r="O48" s="26" t="n">
        <f aca="false">O24/I25</f>
        <v>1.41589285714286</v>
      </c>
      <c r="P48" s="26" t="n">
        <f aca="false">P24/J25</f>
        <v>2.0787380952381</v>
      </c>
      <c r="Q48" s="26" t="n">
        <f aca="false">Q24/K25</f>
        <v>1.27602551020408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2.18106148914469</v>
      </c>
      <c r="O49" s="26" t="n">
        <f aca="false">O24/(O18*-1)</f>
        <v>1.55678566660296</v>
      </c>
      <c r="P49" s="26" t="n">
        <f aca="false">P24/(P18*-1)</f>
        <v>2.33830059617867</v>
      </c>
      <c r="Q49" s="26" t="n">
        <f aca="false">Q24/(Q18*-1)</f>
        <v>17.9649609240317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0.108656229015684</v>
      </c>
      <c r="I50" s="28" t="n">
        <f aca="false">LN(I13/J13)</f>
        <v>-0.0176429845634759</v>
      </c>
      <c r="J50" s="28" t="n">
        <f aca="false">LN(J13/K13)</f>
        <v>-0.0368882804629889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0.8300956913606</v>
      </c>
      <c r="C51" s="30" t="n">
        <f aca="false">C11/C17</f>
        <v>1.06267891935014</v>
      </c>
      <c r="D51" s="30" t="n">
        <f aca="false">D11/D17</f>
        <v>0.485221889116329</v>
      </c>
      <c r="E51" s="30" t="n">
        <f aca="false">E11/E17</f>
        <v>1.49669253823557</v>
      </c>
      <c r="G51" s="29" t="s">
        <v>58</v>
      </c>
      <c r="H51" s="31" t="n">
        <f aca="false">H13/H11</f>
        <v>0.541871288357103</v>
      </c>
      <c r="I51" s="31" t="n">
        <f aca="false">I13/I11</f>
        <v>0.529794830132468</v>
      </c>
      <c r="J51" s="31" t="n">
        <f aca="false">J13/J11</f>
        <v>0.570573992870438</v>
      </c>
      <c r="K51" s="31" t="n">
        <f aca="false">K13/K11</f>
        <v>0.582134437359024</v>
      </c>
      <c r="M51" s="2" t="s">
        <v>59</v>
      </c>
      <c r="N51" s="32" t="n">
        <f aca="false">(N11-N24-N25)/B16</f>
        <v>0.0726668203395625</v>
      </c>
      <c r="O51" s="32" t="n">
        <f aca="false">(O11-O24-O25)/C16</f>
        <v>0.101095733404019</v>
      </c>
      <c r="P51" s="32" t="n">
        <f aca="false">(P11-P24-P25)/D16</f>
        <v>0.14891854314483</v>
      </c>
      <c r="Q51" s="32" t="n">
        <f aca="false">(Q11-Q24-Q25)/E16</f>
        <v>0.0490989731216691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0.242228038756486</v>
      </c>
      <c r="C52" s="31" t="n">
        <f aca="false">I20/C16</f>
        <v>0.275788582765936</v>
      </c>
      <c r="D52" s="31" t="n">
        <f aca="false">J20/D16</f>
        <v>0.305750373064257</v>
      </c>
      <c r="E52" s="31" t="n">
        <f aca="false">K20/E16</f>
        <v>0.324357667774286</v>
      </c>
      <c r="F52" s="31"/>
      <c r="G52" s="29" t="s">
        <v>61</v>
      </c>
      <c r="H52" s="31" t="n">
        <f aca="false">H16/H11</f>
        <v>0.0275126827185809</v>
      </c>
      <c r="I52" s="31" t="n">
        <f aca="false">I16/I11</f>
        <v>0.0248622990652414</v>
      </c>
      <c r="J52" s="31" t="n">
        <f aca="false">J16/J11</f>
        <v>0.0222629826087348</v>
      </c>
      <c r="K52" s="31" t="n">
        <f aca="false">K16/K11</f>
        <v>0.0223766834028335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0.330117613016216</v>
      </c>
      <c r="C53" s="31" t="n">
        <f aca="false">I20/C20</f>
        <v>0.362276154889469</v>
      </c>
      <c r="D53" s="31" t="n">
        <f aca="false">J20/D20</f>
        <v>0.373784444290749</v>
      </c>
      <c r="E53" s="31" t="n">
        <f aca="false">K20/E20</f>
        <v>0.375090126189456</v>
      </c>
      <c r="G53" s="29" t="s">
        <v>11</v>
      </c>
      <c r="H53" s="31" t="n">
        <f aca="false">H17/H11</f>
        <v>0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3.9443244586672</v>
      </c>
      <c r="C54" s="30" t="n">
        <f aca="false">I11/C12</f>
        <v>3.02492121032535</v>
      </c>
      <c r="D54" s="30" t="n">
        <f aca="false">J11/D12</f>
        <v>2.59235558099833</v>
      </c>
      <c r="E54" s="30" t="n">
        <f aca="false">K11/E12</f>
        <v>10.5685181715999</v>
      </c>
      <c r="G54" s="29" t="s">
        <v>64</v>
      </c>
      <c r="H54" s="31" t="n">
        <f aca="false">H25/H22</f>
        <v>0.741374064617008</v>
      </c>
      <c r="I54" s="31" t="n">
        <f aca="false">I25/I22</f>
        <v>0.803505580059287</v>
      </c>
      <c r="J54" s="31" t="n">
        <f aca="false">J25/J22</f>
        <v>0.417456852852423</v>
      </c>
      <c r="K54" s="31" t="n">
        <f aca="false">K25/K22</f>
        <v>0.979803059585023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0.266237155469232</v>
      </c>
      <c r="C55" s="31" t="n">
        <f aca="false">(C22-C20)/C16</f>
        <v>0.238733824890906</v>
      </c>
      <c r="D55" s="31" t="n">
        <f aca="false">(D22-D20)/D16</f>
        <v>0.182014185623978</v>
      </c>
      <c r="E55" s="31" t="n">
        <f aca="false">(E22-E20)/E16</f>
        <v>0.135254049288264</v>
      </c>
      <c r="G55" s="29" t="s">
        <v>66</v>
      </c>
      <c r="H55" s="31" t="n">
        <f aca="false">H22/H11</f>
        <v>0.507314604688967</v>
      </c>
      <c r="I55" s="31" t="n">
        <f aca="false">I22/I11</f>
        <v>0.556563593714896</v>
      </c>
      <c r="J55" s="31" t="n">
        <f aca="false">J22/J11</f>
        <v>0.566766414442997</v>
      </c>
      <c r="K55" s="31" t="n">
        <f aca="false">K22/K11</f>
        <v>0.554044487478895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0.362838153299364</v>
      </c>
      <c r="C56" s="31" t="n">
        <f aca="false">(C22-C20)/C20</f>
        <v>0.313600988322769</v>
      </c>
      <c r="D56" s="31" t="n">
        <f aca="false">(D22-D20)/D20</f>
        <v>0.222515088189913</v>
      </c>
      <c r="E56" s="31" t="n">
        <f aca="false">(E22-E20)/E20</f>
        <v>0.156408999865153</v>
      </c>
      <c r="G56" s="33" t="s">
        <v>68</v>
      </c>
      <c r="H56" s="34" t="n">
        <f aca="false">H13/B16</f>
        <v>0.252186997181603</v>
      </c>
      <c r="I56" s="34" t="n">
        <f aca="false">I13/C16</f>
        <v>0.255849726227336</v>
      </c>
      <c r="J56" s="34" t="n">
        <f aca="false">J13/D16</f>
        <v>0.300006753366464</v>
      </c>
      <c r="K56" s="34" t="n">
        <f aca="false">K13/E16</f>
        <v>0.332099625684757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0.46540018377096</v>
      </c>
      <c r="C57" s="30" t="n">
        <f aca="false">I11/C16</f>
        <v>0.48292227797573</v>
      </c>
      <c r="D57" s="30" t="n">
        <f aca="false">J11/D16</f>
        <v>0.525798156093995</v>
      </c>
      <c r="E57" s="30" t="n">
        <f aca="false">K11/E16</f>
        <v>0.570486135799485</v>
      </c>
      <c r="G57" s="33" t="s">
        <v>70</v>
      </c>
      <c r="H57" s="35" t="n">
        <f aca="false">H25/$B$5</f>
        <v>82.9938131884714</v>
      </c>
      <c r="I57" s="35" t="n">
        <f aca="false">I25/$B$5</f>
        <v>90.5387052965143</v>
      </c>
      <c r="J57" s="35" t="n">
        <f aca="false">J25/$B$5</f>
        <v>45.2693526482571</v>
      </c>
      <c r="K57" s="35" t="n">
        <f aca="false">K25/$B$5</f>
        <v>105.6284895126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1.36283815329936</v>
      </c>
      <c r="C58" s="30" t="n">
        <f aca="false">C16/C20</f>
        <v>1.31360098832277</v>
      </c>
      <c r="D58" s="30" t="n">
        <f aca="false">D16/D20</f>
        <v>1.22251508818991</v>
      </c>
      <c r="E58" s="30" t="n">
        <f aca="false">E16/E20</f>
        <v>1.15640899986515</v>
      </c>
      <c r="G58" s="36" t="s">
        <v>72</v>
      </c>
      <c r="H58" s="37" t="n">
        <f aca="false">H22/$B$7/1000</f>
        <v>7.41865714285714</v>
      </c>
      <c r="I58" s="37" t="n">
        <f aca="false">I22/$B$7/1000</f>
        <v>7.46727857142857</v>
      </c>
      <c r="J58" s="37" t="n">
        <f aca="false">J22/$B$7/1000</f>
        <v>7.18637142857143</v>
      </c>
      <c r="K58" s="37" t="n">
        <f aca="false">K22/$B$7/1000</f>
        <v>7.14429285714286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23.0556357142857</v>
      </c>
      <c r="I59" s="37" t="n">
        <f aca="false">C20/$B$7/1000</f>
        <v>21.1498285714286</v>
      </c>
      <c r="J59" s="37" t="n">
        <f aca="false">D20/$B$7/1000</f>
        <v>19.7256928571429</v>
      </c>
      <c r="K59" s="37" t="n">
        <f aca="false">E20/$B$7/1000</f>
        <v>19.5460071428571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62.0358104076606</v>
      </c>
      <c r="I60" s="38" t="n">
        <f aca="false">SQRT(22.5*I58*I59)</f>
        <v>59.6109250709832</v>
      </c>
      <c r="J60" s="38" t="n">
        <f aca="false">SQRT(22.5*J58*J59)</f>
        <v>56.4757779941127</v>
      </c>
      <c r="K60" s="38" t="n">
        <f aca="false">SQRT(22.5*K58*K59)</f>
        <v>56.0531353482434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5.57420628571429</v>
      </c>
      <c r="I61" s="39" t="n">
        <f aca="false">I58-(C20*0.08/1000/$B$7)</f>
        <v>5.77529228571429</v>
      </c>
      <c r="J61" s="39" t="n">
        <f aca="false">J58-(D20*0.08/1000/$B$7)</f>
        <v>5.608316</v>
      </c>
      <c r="K61" s="39" t="n">
        <f aca="false">K58-(E20*0.08/1000/$B$7)</f>
        <v>5.58061228571429</v>
      </c>
      <c r="M61" s="6"/>
    </row>
    <row r="62" customFormat="false" ht="15" hidden="false" customHeight="false" outlineLevel="0" collapsed="false">
      <c r="G62" s="40" t="s">
        <v>76</v>
      </c>
      <c r="H62" s="69" t="n">
        <v>6</v>
      </c>
      <c r="I62" s="69" t="n">
        <v>5</v>
      </c>
      <c r="J62" s="69" t="n">
        <v>7</v>
      </c>
      <c r="K62" s="69" t="n">
        <v>7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18</v>
      </c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0.347904567893251</v>
      </c>
      <c r="I74" s="6" t="n">
        <f aca="false">I59*$B$7/$B$5</f>
        <v>0.319146349350061</v>
      </c>
      <c r="J74" s="6" t="n">
        <f aca="false">J59*$B$7/$B$5</f>
        <v>0.297656448727069</v>
      </c>
      <c r="K74" s="6" t="n">
        <f aca="false">K59*$B$7/$B$5</f>
        <v>0.294945030071784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0.106396097428491</v>
      </c>
      <c r="I77" s="28" t="n">
        <f aca="false">(I15-I16)/$B$6</f>
        <v>0.107109132510595</v>
      </c>
      <c r="J77" s="28" t="n">
        <f aca="false">(J15-J16)/$B$6</f>
        <v>0.10307026455988</v>
      </c>
      <c r="K77" s="28" t="n">
        <f aca="false">(K15-K16)/$B$6</f>
        <v>0.102488133971913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Abdullah Nasser Al-Othman</cp:lastModifiedBy>
  <dcterms:modified xsi:type="dcterms:W3CDTF">2017-12-05T10:29:44Z</dcterms:modified>
  <cp:revision>0</cp:revision>
</cp:coreProperties>
</file>