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2"/>
  <workbookPr/>
  <xr:revisionPtr revIDLastSave="0" documentId="8_{A675F76D-F5EB-4D1D-A3B9-B84605234158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Main Model" sheetId="7" r:id="rId1"/>
    <sheet name="Europe Model" sheetId="6" r:id="rId2"/>
    <sheet name="Inventory Utilization" sheetId="8" r:id="rId3"/>
  </sheets>
  <externalReferences>
    <externalReference r:id="rId4"/>
  </externalReferences>
  <definedNames>
    <definedName name="MO_CFS_CFO">[1]Model!$845:$845</definedName>
    <definedName name="MO_CFS_CFO_BeforeWC">[1]Model!$835:$835</definedName>
    <definedName name="MO_RIS_Adjustments_Dilution_GAAP">[1]Model!$584:$584</definedName>
    <definedName name="MO_RIS_COGS">[1]Model!$556:$556</definedName>
    <definedName name="MO_RIS_DA">[1]Model!$564:$564</definedName>
    <definedName name="MO_RIS_DisCont">[1]Model!$580:$580</definedName>
    <definedName name="MO_RIS_Dividend_Prefs">[1]Model!$582:$582</definedName>
    <definedName name="MO_RIS_EBIT_Adj">[1]Model!$568:$568</definedName>
    <definedName name="MO_RIS_EBITDA">[1]Model!$560:$560</definedName>
    <definedName name="MO_RIS_EBITDA_Adj">[1]Model!$561:$561</definedName>
    <definedName name="MO_RIS_EBT">[1]Model!$575:$575</definedName>
    <definedName name="MO_RIS_EI">[1]Model!$572:$572</definedName>
    <definedName name="MO_RIS_EPS_WAD">[1]Model!$594:$594</definedName>
    <definedName name="MO_RIS_EPS_WAD_Adj">[1]Model!$595:$595</definedName>
    <definedName name="MO_RIS_IE">[1]Model!$571:$571</definedName>
    <definedName name="MO_RIS_NCI">[1]Model!$581:$581</definedName>
    <definedName name="MO_RIS_NI_GAAP_Basic">[1]Model!$583:$583</definedName>
    <definedName name="MO_RIS_NI_GAAP_Diluted">[1]Model!$585:$585</definedName>
    <definedName name="MO_RIS_NI_NONGAAP_Diluted">[1]Model!$588:$588</definedName>
    <definedName name="MO_RIS_REV">[1]Model!$553:$553</definedName>
    <definedName name="MO_RIS_SBC">[1]Model!$566:$566</definedName>
    <definedName name="MO_RIS_SGA">[1]Model!$559:$559</definedName>
    <definedName name="MO_RIS_ShareCount_WAD_Adj">[1]Model!$600:$600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8" l="1"/>
  <c r="D6" i="8"/>
  <c r="E6" i="8"/>
  <c r="F6" i="8"/>
  <c r="G6" i="8"/>
  <c r="Q7" i="7"/>
  <c r="J9" i="6"/>
  <c r="C25" i="6" s="1"/>
  <c r="D25" i="6" s="1"/>
  <c r="I9" i="6"/>
  <c r="H9" i="6"/>
  <c r="G9" i="6"/>
  <c r="F9" i="6"/>
  <c r="E9" i="6"/>
  <c r="D9" i="6"/>
  <c r="R29" i="7"/>
  <c r="Q29" i="7"/>
  <c r="P29" i="7"/>
  <c r="O29" i="7"/>
  <c r="N29" i="7"/>
  <c r="L29" i="7"/>
  <c r="K29" i="7"/>
  <c r="J29" i="7"/>
  <c r="M29" i="7"/>
  <c r="C81" i="7"/>
  <c r="C79" i="7"/>
  <c r="D74" i="7"/>
  <c r="E74" i="7" s="1"/>
  <c r="F74" i="7" s="1"/>
  <c r="G74" i="7" s="1"/>
  <c r="C70" i="7"/>
  <c r="C69" i="7"/>
  <c r="C68" i="7"/>
  <c r="I65" i="7"/>
  <c r="D65" i="7"/>
  <c r="R51" i="7"/>
  <c r="Q51" i="7"/>
  <c r="P51" i="7"/>
  <c r="O51" i="7"/>
  <c r="N51" i="7"/>
  <c r="M51" i="7"/>
  <c r="L51" i="7"/>
  <c r="K51" i="7"/>
  <c r="J51" i="7"/>
  <c r="N48" i="7"/>
  <c r="O48" i="7" s="1"/>
  <c r="N47" i="7"/>
  <c r="O47" i="7" s="1"/>
  <c r="N46" i="7"/>
  <c r="O46" i="7" s="1"/>
  <c r="N42" i="7"/>
  <c r="O42" i="7" s="1"/>
  <c r="I40" i="7"/>
  <c r="H40" i="7"/>
  <c r="G40" i="7"/>
  <c r="F40" i="7"/>
  <c r="E40" i="7"/>
  <c r="D40" i="7"/>
  <c r="C40" i="7"/>
  <c r="N43" i="7"/>
  <c r="O43" i="7" s="1"/>
  <c r="I38" i="7"/>
  <c r="H38" i="7"/>
  <c r="G38" i="7"/>
  <c r="F38" i="7"/>
  <c r="E38" i="7"/>
  <c r="D38" i="7"/>
  <c r="C38" i="7"/>
  <c r="I35" i="7"/>
  <c r="H35" i="7"/>
  <c r="G35" i="7"/>
  <c r="F35" i="7"/>
  <c r="E35" i="7"/>
  <c r="D35" i="7"/>
  <c r="C35" i="7"/>
  <c r="I33" i="7"/>
  <c r="N33" i="7" s="1"/>
  <c r="O33" i="7" s="1"/>
  <c r="P33" i="7" s="1"/>
  <c r="Q33" i="7" s="1"/>
  <c r="R33" i="7" s="1"/>
  <c r="H33" i="7"/>
  <c r="M33" i="7" s="1"/>
  <c r="G33" i="7"/>
  <c r="L33" i="7" s="1"/>
  <c r="F33" i="7"/>
  <c r="K33" i="7" s="1"/>
  <c r="E33" i="7"/>
  <c r="J33" i="7" s="1"/>
  <c r="D33" i="7"/>
  <c r="C33" i="7"/>
  <c r="M28" i="7"/>
  <c r="L28" i="7"/>
  <c r="K28" i="7"/>
  <c r="J28" i="7"/>
  <c r="N5" i="6"/>
  <c r="S4" i="6"/>
  <c r="R4" i="6"/>
  <c r="Q4" i="6"/>
  <c r="P4" i="6"/>
  <c r="J15" i="6"/>
  <c r="H15" i="6"/>
  <c r="G15" i="6"/>
  <c r="F15" i="6"/>
  <c r="E15" i="6"/>
  <c r="D15" i="6"/>
  <c r="C15" i="6"/>
  <c r="J18" i="6"/>
  <c r="H18" i="6"/>
  <c r="G18" i="6"/>
  <c r="F18" i="6"/>
  <c r="E18" i="6"/>
  <c r="C18" i="6"/>
  <c r="D18" i="6"/>
  <c r="O7" i="6"/>
  <c r="O6" i="6"/>
  <c r="I5" i="6"/>
  <c r="I6" i="6"/>
  <c r="I18" i="6" s="1"/>
  <c r="I7" i="6"/>
  <c r="E13" i="6"/>
  <c r="E10" i="6"/>
  <c r="J13" i="6"/>
  <c r="I13" i="6"/>
  <c r="H13" i="6"/>
  <c r="G13" i="6"/>
  <c r="F13" i="6"/>
  <c r="J10" i="6"/>
  <c r="J11" i="6" s="1"/>
  <c r="I10" i="6"/>
  <c r="H10" i="6"/>
  <c r="G10" i="6"/>
  <c r="F10" i="6"/>
  <c r="E11" i="6"/>
  <c r="Q27" i="7" l="1"/>
  <c r="P27" i="7"/>
  <c r="O27" i="7"/>
  <c r="N27" i="7"/>
  <c r="E25" i="6"/>
  <c r="C71" i="7"/>
  <c r="R38" i="7"/>
  <c r="Q38" i="7"/>
  <c r="P38" i="7"/>
  <c r="O38" i="7"/>
  <c r="P42" i="7"/>
  <c r="P43" i="7"/>
  <c r="N40" i="7"/>
  <c r="O40" i="7" s="1"/>
  <c r="P46" i="7"/>
  <c r="P47" i="7"/>
  <c r="P48" i="7"/>
  <c r="M38" i="7"/>
  <c r="L38" i="7"/>
  <c r="K38" i="7"/>
  <c r="J38" i="7"/>
  <c r="N28" i="7"/>
  <c r="O28" i="7" s="1"/>
  <c r="C19" i="6"/>
  <c r="D19" i="6"/>
  <c r="E19" i="6"/>
  <c r="J19" i="6"/>
  <c r="M5" i="6"/>
  <c r="L5" i="6"/>
  <c r="K5" i="6"/>
  <c r="F11" i="6"/>
  <c r="K11" i="6" s="1"/>
  <c r="F4" i="6"/>
  <c r="G11" i="6"/>
  <c r="L11" i="6" s="1"/>
  <c r="G4" i="6"/>
  <c r="H11" i="6"/>
  <c r="M11" i="6" s="1"/>
  <c r="H4" i="6"/>
  <c r="I11" i="6"/>
  <c r="N11" i="6" s="1"/>
  <c r="I4" i="6"/>
  <c r="E4" i="6"/>
  <c r="I15" i="6"/>
  <c r="K15" i="6"/>
  <c r="F19" i="6"/>
  <c r="L15" i="6"/>
  <c r="G19" i="6"/>
  <c r="M15" i="6"/>
  <c r="H19" i="6"/>
  <c r="D13" i="6"/>
  <c r="C13" i="6"/>
  <c r="C10" i="6"/>
  <c r="D10" i="6"/>
  <c r="L27" i="7" l="1"/>
  <c r="L26" i="7" s="1"/>
  <c r="L31" i="7" s="1"/>
  <c r="K27" i="7"/>
  <c r="K26" i="7" s="1"/>
  <c r="K31" i="7" s="1"/>
  <c r="J27" i="7"/>
  <c r="J26" i="7" s="1"/>
  <c r="M27" i="7"/>
  <c r="M26" i="7" s="1"/>
  <c r="M31" i="7" s="1"/>
  <c r="P28" i="7"/>
  <c r="Q28" i="7" s="1"/>
  <c r="R28" i="7" s="1"/>
  <c r="P40" i="7"/>
  <c r="Q43" i="7"/>
  <c r="R43" i="7" s="1"/>
  <c r="Q42" i="7"/>
  <c r="R42" i="7" s="1"/>
  <c r="L40" i="7"/>
  <c r="L39" i="7" s="1"/>
  <c r="K40" i="7"/>
  <c r="K39" i="7" s="1"/>
  <c r="J40" i="7"/>
  <c r="M40" i="7"/>
  <c r="M39" i="7" s="1"/>
  <c r="Q48" i="7"/>
  <c r="R48" i="7" s="1"/>
  <c r="Q47" i="7"/>
  <c r="R47" i="7" s="1"/>
  <c r="Q46" i="7"/>
  <c r="R46" i="7" s="1"/>
  <c r="M32" i="7"/>
  <c r="M34" i="7"/>
  <c r="M36" i="7" s="1"/>
  <c r="M54" i="7" s="1"/>
  <c r="M55" i="7" s="1"/>
  <c r="M56" i="7" s="1"/>
  <c r="M57" i="7" s="1"/>
  <c r="L32" i="7"/>
  <c r="L34" i="7"/>
  <c r="L36" i="7" s="1"/>
  <c r="L54" i="7" s="1"/>
  <c r="L55" i="7" s="1"/>
  <c r="L56" i="7" s="1"/>
  <c r="L57" i="7" s="1"/>
  <c r="K32" i="7"/>
  <c r="K34" i="7"/>
  <c r="K36" i="7" s="1"/>
  <c r="K54" i="7" s="1"/>
  <c r="K55" i="7" s="1"/>
  <c r="K56" i="7" s="1"/>
  <c r="K57" i="7" s="1"/>
  <c r="D11" i="6"/>
  <c r="D4" i="6"/>
  <c r="C11" i="6"/>
  <c r="C4" i="6"/>
  <c r="N15" i="6"/>
  <c r="I19" i="6"/>
  <c r="N26" i="7" l="1"/>
  <c r="O26" i="7" s="1"/>
  <c r="J31" i="7"/>
  <c r="Q40" i="7"/>
  <c r="K37" i="7"/>
  <c r="K44" i="7"/>
  <c r="L37" i="7"/>
  <c r="L44" i="7"/>
  <c r="M37" i="7"/>
  <c r="M44" i="7"/>
  <c r="J32" i="7" l="1"/>
  <c r="J34" i="7"/>
  <c r="N34" i="7" s="1"/>
  <c r="N31" i="7"/>
  <c r="J39" i="7"/>
  <c r="N39" i="7" s="1"/>
  <c r="P26" i="7"/>
  <c r="O31" i="7"/>
  <c r="R40" i="7"/>
  <c r="M45" i="7"/>
  <c r="M49" i="7" s="1"/>
  <c r="L45" i="7"/>
  <c r="L49" i="7" s="1"/>
  <c r="K45" i="7"/>
  <c r="K49" i="7" s="1"/>
  <c r="O39" i="7" l="1"/>
  <c r="O34" i="7"/>
  <c r="O32" i="7"/>
  <c r="O36" i="7" s="1"/>
  <c r="Q26" i="7"/>
  <c r="P31" i="7"/>
  <c r="N32" i="7"/>
  <c r="J36" i="7"/>
  <c r="K50" i="7"/>
  <c r="K60" i="7"/>
  <c r="K62" i="7" s="1"/>
  <c r="K64" i="7" s="1"/>
  <c r="L50" i="7"/>
  <c r="L60" i="7"/>
  <c r="L62" i="7" s="1"/>
  <c r="L64" i="7" s="1"/>
  <c r="M50" i="7"/>
  <c r="M60" i="7"/>
  <c r="M62" i="7" s="1"/>
  <c r="M64" i="7" s="1"/>
  <c r="J54" i="7" l="1"/>
  <c r="J55" i="7" s="1"/>
  <c r="J56" i="7" s="1"/>
  <c r="J57" i="7" s="1"/>
  <c r="N36" i="7"/>
  <c r="N54" i="7" s="1"/>
  <c r="N55" i="7" s="1"/>
  <c r="N56" i="7" s="1"/>
  <c r="N57" i="7" s="1"/>
  <c r="J37" i="7"/>
  <c r="P34" i="7"/>
  <c r="P32" i="7"/>
  <c r="P36" i="7" s="1"/>
  <c r="P39" i="7"/>
  <c r="R26" i="7"/>
  <c r="R31" i="7" s="1"/>
  <c r="Q31" i="7"/>
  <c r="O37" i="7"/>
  <c r="O54" i="7"/>
  <c r="O55" i="7" s="1"/>
  <c r="O56" i="7" s="1"/>
  <c r="O57" i="7" s="1"/>
  <c r="Q39" i="7" l="1"/>
  <c r="Q34" i="7"/>
  <c r="Q32" i="7"/>
  <c r="Q36" i="7" s="1"/>
  <c r="R34" i="7"/>
  <c r="R32" i="7"/>
  <c r="R36" i="7" s="1"/>
  <c r="R39" i="7"/>
  <c r="P54" i="7"/>
  <c r="P55" i="7" s="1"/>
  <c r="P56" i="7" s="1"/>
  <c r="P57" i="7" s="1"/>
  <c r="P37" i="7"/>
  <c r="P44" i="7" s="1"/>
  <c r="P45" i="7" s="1"/>
  <c r="P49" i="7" s="1"/>
  <c r="N37" i="7"/>
  <c r="N38" i="7" s="1"/>
  <c r="J44" i="7"/>
  <c r="N44" i="7" l="1"/>
  <c r="J45" i="7"/>
  <c r="P50" i="7"/>
  <c r="P60" i="7"/>
  <c r="P62" i="7" s="1"/>
  <c r="P64" i="7" s="1"/>
  <c r="E75" i="7" s="1"/>
  <c r="E77" i="7" s="1"/>
  <c r="R54" i="7"/>
  <c r="R55" i="7" s="1"/>
  <c r="R56" i="7" s="1"/>
  <c r="R57" i="7" s="1"/>
  <c r="R37" i="7"/>
  <c r="R44" i="7" s="1"/>
  <c r="R45" i="7" s="1"/>
  <c r="R49" i="7" s="1"/>
  <c r="Q54" i="7"/>
  <c r="Q55" i="7" s="1"/>
  <c r="Q56" i="7" s="1"/>
  <c r="Q57" i="7" s="1"/>
  <c r="Q37" i="7"/>
  <c r="Q44" i="7" s="1"/>
  <c r="Q45" i="7" s="1"/>
  <c r="Q49" i="7" s="1"/>
  <c r="Q50" i="7" l="1"/>
  <c r="Q60" i="7"/>
  <c r="Q62" i="7" s="1"/>
  <c r="Q64" i="7" s="1"/>
  <c r="R50" i="7"/>
  <c r="R60" i="7"/>
  <c r="R62" i="7" s="1"/>
  <c r="R64" i="7" s="1"/>
  <c r="N45" i="7"/>
  <c r="N49" i="7" s="1"/>
  <c r="J49" i="7"/>
  <c r="J50" i="7" l="1"/>
  <c r="J60" i="7"/>
  <c r="J62" i="7" s="1"/>
  <c r="J64" i="7" s="1"/>
  <c r="N50" i="7"/>
  <c r="N60" i="7"/>
  <c r="N62" i="7" s="1"/>
  <c r="N64" i="7" s="1"/>
  <c r="G75" i="7"/>
  <c r="G76" i="7" s="1"/>
  <c r="G77" i="7" s="1"/>
  <c r="R65" i="7"/>
  <c r="Q65" i="7"/>
  <c r="F75" i="7"/>
  <c r="F77" i="7" s="1"/>
  <c r="M4" i="6"/>
  <c r="M8" i="6" s="1"/>
  <c r="M9" i="6" s="1"/>
  <c r="N4" i="6"/>
  <c r="N8" i="6" s="1"/>
  <c r="N9" i="6" s="1"/>
  <c r="L4" i="6"/>
  <c r="L8" i="6" s="1"/>
  <c r="L9" i="6" s="1"/>
  <c r="K4" i="6"/>
  <c r="K8" i="6" s="1"/>
  <c r="K9" i="6" s="1"/>
  <c r="O4" i="6"/>
  <c r="L14" i="6"/>
  <c r="M14" i="6"/>
  <c r="N14" i="6"/>
  <c r="K14" i="6"/>
  <c r="O14" i="6"/>
  <c r="N65" i="7" l="1"/>
  <c r="C75" i="7"/>
  <c r="C77" i="7" s="1"/>
  <c r="K10" i="6"/>
  <c r="O8" i="6"/>
  <c r="O9" i="6" s="1"/>
  <c r="K12" i="6"/>
  <c r="L10" i="6"/>
  <c r="L12" i="6"/>
  <c r="M10" i="6"/>
  <c r="M12" i="6"/>
  <c r="O15" i="6" l="1"/>
  <c r="P15" i="6" s="1"/>
  <c r="Q15" i="6" s="1"/>
  <c r="R15" i="6" s="1"/>
  <c r="S15" i="6" s="1"/>
  <c r="P8" i="6"/>
  <c r="P9" i="6" s="1"/>
  <c r="M18" i="6"/>
  <c r="M13" i="6"/>
  <c r="L18" i="6"/>
  <c r="L13" i="6"/>
  <c r="K18" i="6"/>
  <c r="K13" i="6"/>
  <c r="L19" i="6" l="1"/>
  <c r="M19" i="6"/>
  <c r="Q8" i="6"/>
  <c r="Q9" i="6" s="1"/>
  <c r="P14" i="6"/>
  <c r="K19" i="6"/>
  <c r="N10" i="6"/>
  <c r="O10" i="6" s="1"/>
  <c r="O11" i="6" s="1"/>
  <c r="P11" i="6" s="1"/>
  <c r="Q11" i="6" s="1"/>
  <c r="R11" i="6" s="1"/>
  <c r="S11" i="6" s="1"/>
  <c r="N12" i="6"/>
  <c r="O12" i="6"/>
  <c r="O13" i="6" s="1"/>
  <c r="P10" i="6" l="1"/>
  <c r="P12" i="6" s="1"/>
  <c r="Q14" i="6"/>
  <c r="R8" i="6"/>
  <c r="R9" i="6" s="1"/>
  <c r="N18" i="6"/>
  <c r="N13" i="6"/>
  <c r="S8" i="6" l="1"/>
  <c r="S9" i="6" s="1"/>
  <c r="S14" i="6"/>
  <c r="R14" i="6"/>
  <c r="Q10" i="6"/>
  <c r="Q12" i="6" s="1"/>
  <c r="Q18" i="6" s="1"/>
  <c r="P13" i="6"/>
  <c r="P18" i="6"/>
  <c r="O18" i="6"/>
  <c r="F25" i="6" s="1"/>
  <c r="N19" i="6"/>
  <c r="O19" i="6" l="1"/>
  <c r="P19" i="6"/>
  <c r="R10" i="6"/>
  <c r="R12" i="6" s="1"/>
  <c r="S10" i="6"/>
  <c r="Q13" i="6"/>
  <c r="Q19" i="6"/>
  <c r="S12" i="6"/>
  <c r="S13" i="6" l="1"/>
  <c r="S18" i="6"/>
  <c r="R13" i="6"/>
  <c r="R18" i="6"/>
  <c r="R19" i="6" l="1"/>
  <c r="S19" i="6"/>
  <c r="O44" i="7"/>
  <c r="O45" i="7" l="1"/>
  <c r="O49" i="7"/>
  <c r="O50" i="7" l="1"/>
  <c r="O60" i="7"/>
  <c r="O62" i="7" s="1"/>
  <c r="O64" i="7" s="1"/>
  <c r="D75" i="7" s="1"/>
  <c r="D77" i="7" s="1"/>
  <c r="C78" i="7" s="1"/>
  <c r="C80" i="7" s="1"/>
  <c r="C82" i="7" s="1"/>
  <c r="O65" i="7" l="1"/>
  <c r="P6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Botzer, Amit</author>
  </authors>
  <commentList>
    <comment ref="N27" authorId="0" shapeId="0" xr:uid="{C136814B-90ED-4845-A81F-A15272D8E80A}">
      <text>
        <r>
          <rPr>
            <sz val="11"/>
            <color theme="1"/>
            <rFont val="Aptos Narrow"/>
            <family val="2"/>
            <scheme val="minor"/>
          </rPr>
          <t>Botzer, Amit:
See Company Assumptions</t>
        </r>
      </text>
    </comment>
    <comment ref="O27" authorId="0" shapeId="0" xr:uid="{9D8732EA-486B-4BE1-BC98-5053D1B2E90F}">
      <text>
        <r>
          <rPr>
            <sz val="11"/>
            <color theme="1"/>
            <rFont val="Aptos Narrow"/>
            <family val="2"/>
            <scheme val="minor"/>
          </rPr>
          <t>Botzer, Amit:
See Company Assumptions</t>
        </r>
      </text>
    </comment>
    <comment ref="P27" authorId="0" shapeId="0" xr:uid="{44045848-1A0A-43B5-A97A-2F3BB9274320}">
      <text>
        <r>
          <rPr>
            <sz val="11"/>
            <color theme="1"/>
            <rFont val="Aptos Narrow"/>
            <family val="2"/>
            <scheme val="minor"/>
          </rPr>
          <t>Botzer, Amit:
See Company Assumptions</t>
        </r>
      </text>
    </comment>
    <comment ref="Q27" authorId="0" shapeId="0" xr:uid="{BC6483F1-513D-4F74-BB7A-F040E5D01C7B}">
      <text>
        <r>
          <rPr>
            <sz val="11"/>
            <color theme="1"/>
            <rFont val="Aptos Narrow"/>
            <family val="2"/>
            <scheme val="minor"/>
          </rPr>
          <t>Botzer, Amit:
BCG Industry Report</t>
        </r>
      </text>
    </comment>
    <comment ref="R27" authorId="0" shapeId="0" xr:uid="{068A403E-AB05-4CEB-8A36-AA7F1900120C}">
      <text>
        <r>
          <rPr>
            <sz val="11"/>
            <color theme="1"/>
            <rFont val="Aptos Narrow"/>
            <family val="2"/>
            <scheme val="minor"/>
          </rPr>
          <t>Botzer, Amit:
BCG Industry Report</t>
        </r>
      </text>
    </comment>
    <comment ref="N29" authorId="0" shapeId="0" xr:uid="{D1496FAC-8ED8-4D11-B0D0-8FCD90B9B824}">
      <text>
        <r>
          <rPr>
            <sz val="11"/>
            <color theme="1"/>
            <rFont val="Aptos Narrow"/>
            <family val="2"/>
            <scheme val="minor"/>
          </rPr>
          <t>Botzer, Amit:
Organic growth of 2023</t>
        </r>
      </text>
    </comment>
    <comment ref="O29" authorId="0" shapeId="0" xr:uid="{B4C92D48-0E2F-43BA-B32B-E8BE40E407A5}">
      <text>
        <r>
          <rPr>
            <sz val="11"/>
            <color theme="1"/>
            <rFont val="Aptos Narrow"/>
            <family val="2"/>
            <scheme val="minor"/>
          </rPr>
          <t>Botzer, Amit:
Organic growth of 2023</t>
        </r>
      </text>
    </comment>
    <comment ref="P29" authorId="0" shapeId="0" xr:uid="{9316B5EC-4F06-4D7C-95CB-CEFDFF1F0A1F}">
      <text>
        <r>
          <rPr>
            <sz val="11"/>
            <color theme="1"/>
            <rFont val="Aptos Narrow"/>
            <family val="2"/>
            <scheme val="minor"/>
          </rPr>
          <t>Botzer, Amit:
Organic growth of 2023</t>
        </r>
      </text>
    </comment>
    <comment ref="Q29" authorId="0" shapeId="0" xr:uid="{2068969E-9B5A-45CA-83FA-F4B0B5894338}">
      <text>
        <r>
          <rPr>
            <sz val="11"/>
            <color theme="1"/>
            <rFont val="Aptos Narrow"/>
            <family val="2"/>
            <scheme val="minor"/>
          </rPr>
          <t>Botzer, Amit:
Organic growth of 2023</t>
        </r>
      </text>
    </comment>
    <comment ref="R29" authorId="0" shapeId="0" xr:uid="{D4E712A7-ADE3-4C28-8A54-06BFF4FB63BA}">
      <text>
        <r>
          <rPr>
            <sz val="11"/>
            <color theme="1"/>
            <rFont val="Aptos Narrow"/>
            <family val="2"/>
            <scheme val="minor"/>
          </rPr>
          <t>Botzer, Amit:
Organic growth of 2023</t>
        </r>
      </text>
    </comment>
    <comment ref="N33" authorId="0" shapeId="0" xr:uid="{6FCDFE3B-A214-49C0-8A15-1B6BF26F20D2}">
      <text>
        <r>
          <rPr>
            <sz val="11"/>
            <color theme="1"/>
            <rFont val="Aptos Narrow"/>
            <family val="2"/>
            <scheme val="minor"/>
          </rPr>
          <t>Botzer, Amit:
See gross margin improvement assumption</t>
        </r>
      </text>
    </comment>
    <comment ref="O33" authorId="0" shapeId="0" xr:uid="{4411A266-E719-4224-A62A-50C9536BFCEE}">
      <text>
        <r>
          <rPr>
            <sz val="11"/>
            <color theme="1"/>
            <rFont val="Aptos Narrow"/>
            <family val="2"/>
            <scheme val="minor"/>
          </rPr>
          <t>Botzer, Amit:
See gross margin improvement assumption</t>
        </r>
      </text>
    </comment>
    <comment ref="P33" authorId="0" shapeId="0" xr:uid="{C09A39EF-4A56-4E9F-9D57-856BD2E2B6C5}">
      <text>
        <r>
          <rPr>
            <sz val="11"/>
            <color theme="1"/>
            <rFont val="Aptos Narrow"/>
            <family val="2"/>
            <scheme val="minor"/>
          </rPr>
          <t>Botzer, Amit:
See gross margin improvement assumption</t>
        </r>
      </text>
    </comment>
    <comment ref="Q33" authorId="0" shapeId="0" xr:uid="{77F68244-0DAB-48C2-AA03-8F752F7FBDA8}">
      <text>
        <r>
          <rPr>
            <sz val="11"/>
            <color theme="1"/>
            <rFont val="Aptos Narrow"/>
            <family val="2"/>
            <scheme val="minor"/>
          </rPr>
          <t>Botzer, Amit:
See gross margin improvement assumption</t>
        </r>
      </text>
    </comment>
    <comment ref="R33" authorId="0" shapeId="0" xr:uid="{182FDA00-77EC-4452-B31E-4542E8B3ACF5}">
      <text>
        <r>
          <rPr>
            <sz val="11"/>
            <color theme="1"/>
            <rFont val="Aptos Narrow"/>
            <family val="2"/>
            <scheme val="minor"/>
          </rPr>
          <t>Botzer, Amit:
See gross margin improvement assumption</t>
        </r>
      </text>
    </comment>
    <comment ref="N35" authorId="0" shapeId="0" xr:uid="{C358C39F-2F84-4CF1-92B3-38D218E41B39}">
      <text>
        <r>
          <rPr>
            <sz val="11"/>
            <color theme="1"/>
            <rFont val="Aptos Narrow"/>
            <family val="2"/>
            <scheme val="minor"/>
          </rPr>
          <t>Botzer, Amit:
historical average</t>
        </r>
      </text>
    </comment>
    <comment ref="O35" authorId="0" shapeId="0" xr:uid="{1B3844A1-60EA-4F92-AF8B-B8D41A91EC26}">
      <text>
        <r>
          <rPr>
            <sz val="11"/>
            <color theme="1"/>
            <rFont val="Aptos Narrow"/>
            <family val="2"/>
            <scheme val="minor"/>
          </rPr>
          <t>Botzer, Amit:
historical average</t>
        </r>
      </text>
    </comment>
    <comment ref="P35" authorId="0" shapeId="0" xr:uid="{FF77DBB9-AC62-4496-929B-1EB69F47AD36}">
      <text>
        <r>
          <rPr>
            <sz val="11"/>
            <color theme="1"/>
            <rFont val="Aptos Narrow"/>
            <family val="2"/>
            <scheme val="minor"/>
          </rPr>
          <t>Botzer, Amit:
historical average</t>
        </r>
      </text>
    </comment>
    <comment ref="Q35" authorId="0" shapeId="0" xr:uid="{5136F017-1DEB-41F3-A5FE-0314952D1DCA}">
      <text>
        <r>
          <rPr>
            <sz val="11"/>
            <color theme="1"/>
            <rFont val="Aptos Narrow"/>
            <family val="2"/>
            <scheme val="minor"/>
          </rPr>
          <t>Botzer, Amit:
historical average</t>
        </r>
      </text>
    </comment>
    <comment ref="R35" authorId="0" shapeId="0" xr:uid="{57FF8386-82F2-4317-874C-338F66C8AD8A}">
      <text>
        <r>
          <rPr>
            <sz val="11"/>
            <color theme="1"/>
            <rFont val="Aptos Narrow"/>
            <family val="2"/>
            <scheme val="minor"/>
          </rPr>
          <t>Botzer, Amit:
historical average</t>
        </r>
      </text>
    </comment>
    <comment ref="N38" authorId="0" shapeId="0" xr:uid="{957D217C-14C8-41E0-8C94-3B3799977FC0}">
      <text>
        <r>
          <rPr>
            <sz val="11"/>
            <color theme="1"/>
            <rFont val="Aptos Narrow"/>
            <family val="2"/>
            <scheme val="minor"/>
          </rPr>
          <t>Botzer, Amit:
2023 %</t>
        </r>
      </text>
    </comment>
    <comment ref="O38" authorId="0" shapeId="0" xr:uid="{48A1B309-0B3B-415A-8241-AA3EE9B507A3}">
      <text>
        <r>
          <rPr>
            <sz val="11"/>
            <color theme="1"/>
            <rFont val="Aptos Narrow"/>
            <family val="2"/>
            <scheme val="minor"/>
          </rPr>
          <t>Botzer, Amit:
2023 %</t>
        </r>
      </text>
    </comment>
    <comment ref="P38" authorId="0" shapeId="0" xr:uid="{800F7704-BFA9-43A6-A77A-363D1439B0B4}">
      <text>
        <r>
          <rPr>
            <sz val="11"/>
            <color theme="1"/>
            <rFont val="Aptos Narrow"/>
            <family val="2"/>
            <scheme val="minor"/>
          </rPr>
          <t>Botzer, Amit:
2023 %</t>
        </r>
      </text>
    </comment>
    <comment ref="Q38" authorId="0" shapeId="0" xr:uid="{E184E5FC-5E48-4611-997A-4DBFB66A4C0A}">
      <text>
        <r>
          <rPr>
            <sz val="11"/>
            <color theme="1"/>
            <rFont val="Aptos Narrow"/>
            <family val="2"/>
            <scheme val="minor"/>
          </rPr>
          <t>Botzer, Amit:
2023 %</t>
        </r>
      </text>
    </comment>
    <comment ref="R38" authorId="0" shapeId="0" xr:uid="{8399439A-4B17-41AB-86F1-EFC30BB9C5FC}">
      <text>
        <r>
          <rPr>
            <sz val="11"/>
            <color theme="1"/>
            <rFont val="Aptos Narrow"/>
            <family val="2"/>
            <scheme val="minor"/>
          </rPr>
          <t>Botzer, Amit:
2023 %</t>
        </r>
      </text>
    </comment>
    <comment ref="N40" authorId="0" shapeId="0" xr:uid="{B9C340DD-5854-4D24-A0E5-272155DBF144}">
      <text>
        <r>
          <rPr>
            <sz val="11"/>
            <color theme="1"/>
            <rFont val="Aptos Narrow"/>
            <family val="2"/>
            <scheme val="minor"/>
          </rPr>
          <t>Botzer, Amit:
3 yr avg</t>
        </r>
      </text>
    </comment>
    <comment ref="O40" authorId="0" shapeId="0" xr:uid="{9AD3C683-57D0-4B99-AA75-E2D560F55035}">
      <text>
        <r>
          <rPr>
            <sz val="11"/>
            <color theme="1"/>
            <rFont val="Aptos Narrow"/>
            <family val="2"/>
            <scheme val="minor"/>
          </rPr>
          <t>Botzer, Amit:
3 yr avg</t>
        </r>
      </text>
    </comment>
    <comment ref="P40" authorId="0" shapeId="0" xr:uid="{0A84399E-FFB0-4938-A376-8F456A77B151}">
      <text>
        <r>
          <rPr>
            <sz val="11"/>
            <color theme="1"/>
            <rFont val="Aptos Narrow"/>
            <family val="2"/>
            <scheme val="minor"/>
          </rPr>
          <t>Botzer, Amit:
3 yr avg</t>
        </r>
      </text>
    </comment>
    <comment ref="Q40" authorId="0" shapeId="0" xr:uid="{ED0BD666-5734-43B9-B8A4-7B431883C690}">
      <text>
        <r>
          <rPr>
            <sz val="11"/>
            <color theme="1"/>
            <rFont val="Aptos Narrow"/>
            <family val="2"/>
            <scheme val="minor"/>
          </rPr>
          <t>Botzer, Amit:
3 yr avg</t>
        </r>
      </text>
    </comment>
    <comment ref="R40" authorId="0" shapeId="0" xr:uid="{74988033-FCAC-4B89-B2A2-92A2AD1F67F6}">
      <text>
        <r>
          <rPr>
            <sz val="11"/>
            <color theme="1"/>
            <rFont val="Aptos Narrow"/>
            <family val="2"/>
            <scheme val="minor"/>
          </rPr>
          <t>Botzer, Amit:
3 yr avg</t>
        </r>
      </text>
    </comment>
    <comment ref="N41" authorId="0" shapeId="0" xr:uid="{BBF40FBE-F1DF-4F14-B038-D85432AEF7AA}">
      <text>
        <r>
          <rPr>
            <sz val="11"/>
            <color theme="1"/>
            <rFont val="Aptos Narrow"/>
            <family val="2"/>
            <scheme val="minor"/>
          </rPr>
          <t>Botzer, Amit:
Based on current debt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Botzer, Amit</author>
  </authors>
  <commentList>
    <comment ref="O5" authorId="0" shapeId="0" xr:uid="{7C64FEA6-AD0F-4292-963E-F2904A1329C1}">
      <text>
        <r>
          <rPr>
            <sz val="11"/>
            <color theme="1"/>
            <rFont val="Aptos Narrow"/>
            <family val="2"/>
            <scheme val="minor"/>
          </rPr>
          <t>Botzer, Amit:
Both the economy and the auto market are still recovering from covid - more room to grow to 2019 figures</t>
        </r>
      </text>
    </comment>
    <comment ref="P5" authorId="0" shapeId="0" xr:uid="{289FA641-41ED-4FBF-949D-52FC8B11679A}">
      <text>
        <r>
          <rPr>
            <sz val="11"/>
            <color theme="1"/>
            <rFont val="Aptos Narrow"/>
            <family val="2"/>
            <scheme val="minor"/>
          </rPr>
          <t>Botzer, Amit:
BCG report</t>
        </r>
      </text>
    </comment>
    <comment ref="Q5" authorId="0" shapeId="0" xr:uid="{5681F77D-B9F6-40EA-B849-DFFF23378B01}">
      <text>
        <r>
          <rPr>
            <sz val="11"/>
            <color theme="1"/>
            <rFont val="Aptos Narrow"/>
            <family val="2"/>
            <scheme val="minor"/>
          </rPr>
          <t>Botzer, Amit:
BCG report</t>
        </r>
      </text>
    </comment>
    <comment ref="R5" authorId="0" shapeId="0" xr:uid="{4452B5D6-4036-46E1-A82D-3A8750D9E0E7}">
      <text>
        <r>
          <rPr>
            <sz val="11"/>
            <color theme="1"/>
            <rFont val="Aptos Narrow"/>
            <family val="2"/>
            <scheme val="minor"/>
          </rPr>
          <t>Botzer, Amit:
BCG report</t>
        </r>
      </text>
    </comment>
    <comment ref="S5" authorId="0" shapeId="0" xr:uid="{E1D6FF0A-6BAB-44A4-9AFC-9ABBE74B04DA}">
      <text>
        <r>
          <rPr>
            <sz val="11"/>
            <color theme="1"/>
            <rFont val="Aptos Narrow"/>
            <family val="2"/>
            <scheme val="minor"/>
          </rPr>
          <t>Botzer, Amit:
BCG report</t>
        </r>
      </text>
    </comment>
    <comment ref="O6" authorId="0" shapeId="0" xr:uid="{56788221-FC69-43B3-8E06-B7F54423F2C4}">
      <text>
        <r>
          <rPr>
            <sz val="11"/>
            <color theme="1"/>
            <rFont val="Aptos Narrow"/>
            <family val="2"/>
            <scheme val="minor"/>
          </rPr>
          <t xml:space="preserve">Botzer, Amit:
Major acquisitions are unlikely in a consolidation year </t>
        </r>
      </text>
    </comment>
    <comment ref="K11" authorId="0" shapeId="0" xr:uid="{335F4C5F-E430-42A1-AAF9-0C10E12B6B4E}">
      <text>
        <r>
          <rPr>
            <sz val="11"/>
            <color theme="1"/>
            <rFont val="Aptos Narrow"/>
            <family val="2"/>
            <scheme val="minor"/>
          </rPr>
          <t>Botzer, Amit:
gross margin will improve to 40-45% with consolidations (similar to autozone in NH)</t>
        </r>
      </text>
    </comment>
    <comment ref="L11" authorId="0" shapeId="0" xr:uid="{A56B525E-3FEC-4E2E-BECA-B8E3A6785498}">
      <text>
        <r>
          <rPr>
            <sz val="11"/>
            <color theme="1"/>
            <rFont val="Aptos Narrow"/>
            <family val="2"/>
            <scheme val="minor"/>
          </rPr>
          <t>Botzer, Amit:
gross margin will improve to 40-45% with consolidations (similar to autozone in NH)</t>
        </r>
      </text>
    </comment>
    <comment ref="M11" authorId="0" shapeId="0" xr:uid="{F6AE081D-41E3-4777-BC90-0E25E0644353}">
      <text>
        <r>
          <rPr>
            <sz val="11"/>
            <color theme="1"/>
            <rFont val="Aptos Narrow"/>
            <family val="2"/>
            <scheme val="minor"/>
          </rPr>
          <t>Botzer, Amit:
gross margin will improve to 40-45% with consolidations (similar to autozone in NH)</t>
        </r>
      </text>
    </comment>
    <comment ref="N11" authorId="0" shapeId="0" xr:uid="{F63D2D12-42CA-4411-95F8-FF3AE067408D}">
      <text>
        <r>
          <rPr>
            <sz val="11"/>
            <color theme="1"/>
            <rFont val="Aptos Narrow"/>
            <family val="2"/>
            <scheme val="minor"/>
          </rPr>
          <t>Botzer, Amit:
gross margin will improve to 40-45% with consolidations (similar to autozone in NH)</t>
        </r>
      </text>
    </comment>
    <comment ref="O11" authorId="0" shapeId="0" xr:uid="{45F1DF0B-0703-47B6-AEAE-946CAC348CDB}">
      <text>
        <r>
          <rPr>
            <sz val="11"/>
            <color theme="1"/>
            <rFont val="Aptos Narrow"/>
            <family val="2"/>
            <scheme val="minor"/>
          </rPr>
          <t>Botzer, Amit:
gross margin will improve to 40-45% with consolidations (similar to autozone in NH)</t>
        </r>
      </text>
    </comment>
    <comment ref="K15" authorId="0" shapeId="0" xr:uid="{B329BFA3-2807-4987-B209-A091C0F12617}">
      <text>
        <r>
          <rPr>
            <sz val="11"/>
            <color theme="1"/>
            <rFont val="Aptos Narrow"/>
            <family val="2"/>
            <scheme val="minor"/>
          </rPr>
          <t>Botzer, Amit:
No YoY difference</t>
        </r>
      </text>
    </comment>
    <comment ref="L15" authorId="0" shapeId="0" xr:uid="{05F11FEE-FA53-4411-83F3-E5F15BA602EF}">
      <text>
        <r>
          <rPr>
            <sz val="11"/>
            <color theme="1"/>
            <rFont val="Aptos Narrow"/>
            <family val="2"/>
            <scheme val="minor"/>
          </rPr>
          <t>Botzer, Amit:
No YoY difference</t>
        </r>
      </text>
    </comment>
    <comment ref="M15" authorId="0" shapeId="0" xr:uid="{FE73A6F0-FACB-47C5-8153-E90E57736C1C}">
      <text>
        <r>
          <rPr>
            <sz val="11"/>
            <color theme="1"/>
            <rFont val="Aptos Narrow"/>
            <family val="2"/>
            <scheme val="minor"/>
          </rPr>
          <t>Botzer, Amit:
100 basis points improvement due to LKQ Europe 1 program (consolidations)</t>
        </r>
      </text>
    </comment>
    <comment ref="N15" authorId="0" shapeId="0" xr:uid="{DC72FEBB-6A80-4EDD-B38A-0BDD992E0AF6}">
      <text>
        <r>
          <rPr>
            <sz val="11"/>
            <color theme="1"/>
            <rFont val="Aptos Narrow"/>
            <family val="2"/>
            <scheme val="minor"/>
          </rPr>
          <t>Botzer, Amit:
Botzer, Amit:
100 basis points improvement due to LKQ Europe 1 program (consolidations)</t>
        </r>
      </text>
    </comment>
    <comment ref="P15" authorId="0" shapeId="0" xr:uid="{252F56C1-1235-4DDE-B4E0-20D8BC6B72BF}">
      <text>
        <r>
          <rPr>
            <sz val="11"/>
            <color theme="1"/>
            <rFont val="Aptos Narrow"/>
            <family val="2"/>
            <scheme val="minor"/>
          </rPr>
          <t>Botzer, Amit:
YoY improvement of 25 bsp</t>
        </r>
      </text>
    </comment>
    <comment ref="Q15" authorId="0" shapeId="0" xr:uid="{1A45DED6-50E9-43B0-99D3-39FFAB95971A}">
      <text>
        <r>
          <rPr>
            <sz val="11"/>
            <color theme="1"/>
            <rFont val="Aptos Narrow"/>
            <family val="2"/>
            <scheme val="minor"/>
          </rPr>
          <t>Botzer, Amit:
YoY improvement of 25 bsp</t>
        </r>
      </text>
    </comment>
    <comment ref="R15" authorId="0" shapeId="0" xr:uid="{90079556-8B01-4855-BA95-A91226AB1652}">
      <text>
        <r>
          <rPr>
            <sz val="11"/>
            <color theme="1"/>
            <rFont val="Aptos Narrow"/>
            <family val="2"/>
            <scheme val="minor"/>
          </rPr>
          <t>Botzer, Amit:
YoY improvement of 25 bsp</t>
        </r>
      </text>
    </comment>
    <comment ref="S15" authorId="0" shapeId="0" xr:uid="{1A4EACD6-87F8-421E-ACDD-D5508F12359D}">
      <text>
        <r>
          <rPr>
            <sz val="11"/>
            <color theme="1"/>
            <rFont val="Aptos Narrow"/>
            <family val="2"/>
            <scheme val="minor"/>
          </rPr>
          <t>Botzer, Amit:
YoY improvement of 25 bsp</t>
        </r>
      </text>
    </comment>
  </commentList>
</comments>
</file>

<file path=xl/sharedStrings.xml><?xml version="1.0" encoding="utf-8"?>
<sst xmlns="http://schemas.openxmlformats.org/spreadsheetml/2006/main" count="161" uniqueCount="133">
  <si>
    <t>Macro Assumptions</t>
  </si>
  <si>
    <t>est.</t>
  </si>
  <si>
    <t>src.</t>
  </si>
  <si>
    <t>Industry Assumption</t>
  </si>
  <si>
    <t>Company Assumptions</t>
  </si>
  <si>
    <t>Risk-Free Rate</t>
  </si>
  <si>
    <t>30 yr treasury rate</t>
  </si>
  <si>
    <t>Current APU</t>
  </si>
  <si>
    <t>Earnings Call</t>
  </si>
  <si>
    <t>Other revenue growth</t>
  </si>
  <si>
    <t>Steel Prices unpred.</t>
  </si>
  <si>
    <t>APU Annual Growth</t>
  </si>
  <si>
    <t>Industry Reports</t>
  </si>
  <si>
    <t>Part &amp; Services growth</t>
  </si>
  <si>
    <t>APU x Miles Driven x Mkt Share</t>
  </si>
  <si>
    <t>Mkt Share Growth</t>
  </si>
  <si>
    <t>IBIS World</t>
  </si>
  <si>
    <t>Effective Interest Rate</t>
  </si>
  <si>
    <t>#miles driven (growth)</t>
  </si>
  <si>
    <t>FRED</t>
  </si>
  <si>
    <t>Target Leverage Ratio (D/E)</t>
  </si>
  <si>
    <t>2023 10K</t>
  </si>
  <si>
    <t>Car insurance claims tot. cost (growth)</t>
  </si>
  <si>
    <t>Statista</t>
  </si>
  <si>
    <t>Gross Margin Yr Improvement</t>
  </si>
  <si>
    <t xml:space="preserve">  </t>
  </si>
  <si>
    <t>Corp Tax Rate</t>
  </si>
  <si>
    <t>Company's est.</t>
  </si>
  <si>
    <t>Equity Beta</t>
  </si>
  <si>
    <t>5y monthly avg</t>
  </si>
  <si>
    <t>Debt Beta</t>
  </si>
  <si>
    <t>Fullfillment Rate</t>
  </si>
  <si>
    <t>Company Guidance (Earning Call Feb 24')</t>
  </si>
  <si>
    <t>2024E</t>
  </si>
  <si>
    <t>Organic Revenue Growth (Parts &amp; Services)</t>
  </si>
  <si>
    <t>3.5%-5.5%</t>
  </si>
  <si>
    <t>Diluted EPS</t>
  </si>
  <si>
    <t>$3.43-$3.73</t>
  </si>
  <si>
    <t>Adjusted Diluted EPS</t>
  </si>
  <si>
    <t>$3.90-$4.20</t>
  </si>
  <si>
    <t>Operating Cash Flow</t>
  </si>
  <si>
    <t>$1.35b</t>
  </si>
  <si>
    <t>Free Cash Flow</t>
  </si>
  <si>
    <t>$1.0b</t>
  </si>
  <si>
    <t>FCF conversion of Adjusted EBITDA</t>
  </si>
  <si>
    <t>23Q1A</t>
  </si>
  <si>
    <t>23Q2A</t>
  </si>
  <si>
    <t>23Q3A</t>
  </si>
  <si>
    <t>23Q4A</t>
  </si>
  <si>
    <t>2023A</t>
  </si>
  <si>
    <t>24Q1E</t>
  </si>
  <si>
    <t>24Q2E</t>
  </si>
  <si>
    <t>24Q3E</t>
  </si>
  <si>
    <t>24Q4E</t>
  </si>
  <si>
    <t>2025E</t>
  </si>
  <si>
    <t>2026E</t>
  </si>
  <si>
    <t>2027E</t>
  </si>
  <si>
    <t>2028E</t>
  </si>
  <si>
    <t>GAAP Financials</t>
  </si>
  <si>
    <t xml:space="preserve">  Total Part &amp; Services Revenue</t>
  </si>
  <si>
    <t xml:space="preserve">      YoY growth %</t>
  </si>
  <si>
    <t xml:space="preserve">  Total Other Revenue</t>
  </si>
  <si>
    <t xml:space="preserve">  Eliminations</t>
  </si>
  <si>
    <t>Total Net Revenue</t>
  </si>
  <si>
    <t xml:space="preserve">  COGS (adj. for D&amp;A)</t>
  </si>
  <si>
    <t xml:space="preserve">      % gross margin </t>
  </si>
  <si>
    <t xml:space="preserve">  SG&amp;A (adj. for SBC)</t>
  </si>
  <si>
    <t xml:space="preserve">      % of revenue</t>
  </si>
  <si>
    <t>EBITDA</t>
  </si>
  <si>
    <t xml:space="preserve">  SBC</t>
  </si>
  <si>
    <t xml:space="preserve">      % of EBITDA</t>
  </si>
  <si>
    <t xml:space="preserve">  D&amp;A</t>
  </si>
  <si>
    <t xml:space="preserve">      % of Revenue</t>
  </si>
  <si>
    <t xml:space="preserve">  Interest expense, net</t>
  </si>
  <si>
    <t xml:space="preserve">  Income from equity method investments</t>
  </si>
  <si>
    <t xml:space="preserve">  Other Items</t>
  </si>
  <si>
    <t>EBT</t>
  </si>
  <si>
    <t xml:space="preserve">  Tax</t>
  </si>
  <si>
    <t xml:space="preserve">  Discontinued Operations</t>
  </si>
  <si>
    <t xml:space="preserve">  Net Income to NCI</t>
  </si>
  <si>
    <t xml:space="preserve">  Earnings to Preferred and Other Securities</t>
  </si>
  <si>
    <t>Diluted Net Income to Common Shareholders</t>
  </si>
  <si>
    <t>Earnings Per Share</t>
  </si>
  <si>
    <t>Diluted Shares Outstanding</t>
  </si>
  <si>
    <t>Non-GAAP Financials</t>
  </si>
  <si>
    <t>Segment EBITDA</t>
  </si>
  <si>
    <t>Adjusted EBIT</t>
  </si>
  <si>
    <t>Adjusted Net Income</t>
  </si>
  <si>
    <t>Adjusted Earnings Per Share</t>
  </si>
  <si>
    <t>FCF</t>
  </si>
  <si>
    <t>Operating Cash Flow before WC</t>
  </si>
  <si>
    <t xml:space="preserve">  Change in WC</t>
  </si>
  <si>
    <t>Operating Cash Flow after WC</t>
  </si>
  <si>
    <t xml:space="preserve">  Capex</t>
  </si>
  <si>
    <t>DCF Valuation</t>
  </si>
  <si>
    <t>Cost of Equity</t>
  </si>
  <si>
    <t>Cost of Debt</t>
  </si>
  <si>
    <t>Target Leverage</t>
  </si>
  <si>
    <t>D/V = 1- 1/(D/E+1)</t>
  </si>
  <si>
    <t>WACC</t>
  </si>
  <si>
    <t>Terminal Growth Rate</t>
  </si>
  <si>
    <t>TV</t>
  </si>
  <si>
    <t>FCF*(1+g)/(r-g)</t>
  </si>
  <si>
    <t>Total</t>
  </si>
  <si>
    <t>NPV</t>
  </si>
  <si>
    <t>D</t>
  </si>
  <si>
    <t>E</t>
  </si>
  <si>
    <t>E = NPV-D</t>
  </si>
  <si>
    <t># stock diluted</t>
  </si>
  <si>
    <t>Stock Price</t>
  </si>
  <si>
    <t>Revenue Growth, %</t>
  </si>
  <si>
    <t xml:space="preserve">    Europe Organic Growth, %</t>
  </si>
  <si>
    <t xml:space="preserve">    Europe Growth from Acquisitions, %</t>
  </si>
  <si>
    <t xml:space="preserve">    Europe Growth from FX, %</t>
  </si>
  <si>
    <t>Revenues</t>
  </si>
  <si>
    <t xml:space="preserve">    % of global revenue</t>
  </si>
  <si>
    <t>Cost of goods sold</t>
  </si>
  <si>
    <t xml:space="preserve">  % of Revenue</t>
  </si>
  <si>
    <t>Gross profit</t>
  </si>
  <si>
    <t xml:space="preserve">    % gross margin</t>
  </si>
  <si>
    <t>Operating expenses, mm</t>
  </si>
  <si>
    <t>Other expenses (income), net, mm</t>
  </si>
  <si>
    <t>Other impact (calculated), mm</t>
  </si>
  <si>
    <t xml:space="preserve">  % Segment EBITDA Margin</t>
  </si>
  <si>
    <t>Multiples Analysis</t>
  </si>
  <si>
    <t>Market Cap</t>
  </si>
  <si>
    <t>EV</t>
  </si>
  <si>
    <t>Trailing EV/EBITDA</t>
  </si>
  <si>
    <t>Forward EV/EBITDA</t>
  </si>
  <si>
    <t>LKQ (Total)</t>
  </si>
  <si>
    <t>LKQ (Europe)</t>
  </si>
  <si>
    <t>Inventories</t>
  </si>
  <si>
    <t>Inventory 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</si>
</sst>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_(0_);_(\(0\);_(&quot;-&quot;_);@_)"/>
    <numFmt numFmtId="165" formatCode="_(#,##0_);_(\(#,##0\);_(&quot;-&quot;_);_(@_)"/>
    <numFmt numFmtId="166" formatCode="_(* #,##0_);_(* \(#,##0\);_(* &quot;-&quot;??_);_(@_)"/>
    <numFmt numFmtId="167" formatCode="_(* 0.0%_);_(* \-0.0%_);_(* &quot;-&quot;??_);_(@_)"/>
    <numFmt numFmtId="168" formatCode="_(#,##0.00000_);_(\(#,##0.00000\);_(&quot;-&quot;_);_(@_)"/>
    <numFmt numFmtId="169" formatCode="_([$$-409]* #,##0.00_);_([$$-409]* \(#,##0.00\);_([$$-409]* &quot;-&quot;??_);_(@_)"/>
    <numFmt numFmtId="170" formatCode="0.0"/>
  </numFmts>
  <fonts count="26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name val="Calibri"/>
    </font>
    <font>
      <sz val="11"/>
      <name val="Calibri"/>
    </font>
    <font>
      <b/>
      <sz val="11"/>
      <color theme="1"/>
      <name val="Aptos Narrow"/>
      <family val="2"/>
      <scheme val="minor"/>
    </font>
    <font>
      <i/>
      <sz val="9"/>
      <color rgb="FF000000"/>
      <name val="Arial"/>
      <charset val="1"/>
    </font>
    <font>
      <sz val="9"/>
      <color rgb="FF000000"/>
      <name val="Arial"/>
      <charset val="1"/>
    </font>
    <font>
      <i/>
      <sz val="11"/>
      <color theme="1"/>
      <name val="Aptos Narrow"/>
      <family val="2"/>
      <scheme val="minor"/>
    </font>
    <font>
      <sz val="11"/>
      <color rgb="FF08211F"/>
      <name val="Noto Serif"/>
      <charset val="1"/>
    </font>
    <font>
      <sz val="11"/>
      <color rgb="FFFF0000"/>
      <name val="Aptos Narrow"/>
      <family val="2"/>
      <scheme val="minor"/>
    </font>
    <font>
      <sz val="11"/>
      <color rgb="FFFF0000"/>
      <name val="Calibri"/>
    </font>
    <font>
      <i/>
      <sz val="9"/>
      <name val="Calibri"/>
    </font>
    <font>
      <i/>
      <sz val="9"/>
      <color theme="1"/>
      <name val="Aptos Narrow"/>
      <family val="2"/>
      <scheme val="minor"/>
    </font>
    <font>
      <i/>
      <sz val="9"/>
      <color rgb="FFFF0000"/>
      <name val="Aptos Narrow"/>
      <family val="2"/>
      <scheme val="minor"/>
    </font>
    <font>
      <i/>
      <sz val="9"/>
      <color rgb="FF000000"/>
      <name val="Calibri"/>
      <family val="2"/>
    </font>
    <font>
      <i/>
      <sz val="9"/>
      <color rgb="FF000000"/>
      <name val="Aptos Narrow"/>
      <family val="2"/>
      <scheme val="minor"/>
    </font>
    <font>
      <i/>
      <sz val="9"/>
      <color rgb="FFFF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i/>
      <sz val="11"/>
      <color rgb="FF000000"/>
      <name val="Aptos Narrow"/>
      <scheme val="minor"/>
    </font>
    <font>
      <i/>
      <sz val="9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8" fillId="0" borderId="0"/>
    <xf numFmtId="44" fontId="18" fillId="0" borderId="0"/>
  </cellStyleXfs>
  <cellXfs count="14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4" fontId="3" fillId="0" borderId="0" xfId="0" applyNumberFormat="1" applyFont="1" applyAlignment="1">
      <alignment horizontal="right"/>
    </xf>
    <xf numFmtId="165" fontId="4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10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1" fillId="0" borderId="0" xfId="1" applyNumberFormat="1" applyBorder="1"/>
    <xf numFmtId="0" fontId="1" fillId="0" borderId="0" xfId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3" fillId="2" borderId="0" xfId="0" applyNumberFormat="1" applyFont="1" applyFill="1" applyAlignment="1">
      <alignment horizontal="right"/>
    </xf>
    <xf numFmtId="0" fontId="0" fillId="2" borderId="0" xfId="0" applyFill="1"/>
    <xf numFmtId="165" fontId="4" fillId="2" borderId="0" xfId="0" applyNumberFormat="1" applyFont="1" applyFill="1"/>
    <xf numFmtId="164" fontId="3" fillId="2" borderId="1" xfId="0" applyNumberFormat="1" applyFont="1" applyFill="1" applyBorder="1" applyAlignment="1">
      <alignment horizontal="right"/>
    </xf>
    <xf numFmtId="165" fontId="4" fillId="2" borderId="1" xfId="0" applyNumberFormat="1" applyFont="1" applyFill="1" applyBorder="1"/>
    <xf numFmtId="166" fontId="0" fillId="2" borderId="0" xfId="0" applyNumberFormat="1" applyFill="1"/>
    <xf numFmtId="165" fontId="3" fillId="2" borderId="0" xfId="0" applyNumberFormat="1" applyFont="1" applyFill="1"/>
    <xf numFmtId="166" fontId="5" fillId="2" borderId="0" xfId="0" applyNumberFormat="1" applyFont="1" applyFill="1"/>
    <xf numFmtId="165" fontId="0" fillId="2" borderId="0" xfId="0" applyNumberFormat="1" applyFill="1"/>
    <xf numFmtId="165" fontId="3" fillId="2" borderId="1" xfId="0" applyNumberFormat="1" applyFont="1" applyFill="1" applyBorder="1"/>
    <xf numFmtId="0" fontId="9" fillId="0" borderId="0" xfId="0" applyFont="1"/>
    <xf numFmtId="9" fontId="0" fillId="0" borderId="0" xfId="0" applyNumberFormat="1"/>
    <xf numFmtId="9" fontId="0" fillId="0" borderId="8" xfId="0" applyNumberFormat="1" applyBorder="1"/>
    <xf numFmtId="165" fontId="3" fillId="0" borderId="0" xfId="0" applyNumberFormat="1" applyFont="1"/>
    <xf numFmtId="38" fontId="5" fillId="0" borderId="0" xfId="0" applyNumberFormat="1" applyFont="1"/>
    <xf numFmtId="38" fontId="3" fillId="0" borderId="0" xfId="0" applyNumberFormat="1" applyFont="1"/>
    <xf numFmtId="3" fontId="3" fillId="0" borderId="0" xfId="0" applyNumberFormat="1" applyFont="1"/>
    <xf numFmtId="3" fontId="5" fillId="0" borderId="0" xfId="0" applyNumberFormat="1" applyFont="1"/>
    <xf numFmtId="3" fontId="4" fillId="0" borderId="0" xfId="0" applyNumberFormat="1" applyFont="1"/>
    <xf numFmtId="3" fontId="0" fillId="0" borderId="0" xfId="0" applyNumberFormat="1"/>
    <xf numFmtId="165" fontId="5" fillId="2" borderId="0" xfId="0" applyNumberFormat="1" applyFont="1" applyFill="1"/>
    <xf numFmtId="165" fontId="0" fillId="0" borderId="0" xfId="0" applyNumberFormat="1"/>
    <xf numFmtId="1" fontId="0" fillId="0" borderId="0" xfId="0" applyNumberFormat="1"/>
    <xf numFmtId="3" fontId="0" fillId="2" borderId="0" xfId="0" applyNumberFormat="1" applyFill="1"/>
    <xf numFmtId="0" fontId="1" fillId="0" borderId="0" xfId="1"/>
    <xf numFmtId="3" fontId="5" fillId="2" borderId="0" xfId="0" applyNumberFormat="1" applyFont="1" applyFill="1"/>
    <xf numFmtId="0" fontId="5" fillId="0" borderId="0" xfId="0" applyFont="1" applyAlignment="1">
      <alignment horizontal="center"/>
    </xf>
    <xf numFmtId="10" fontId="12" fillId="2" borderId="0" xfId="0" applyNumberFormat="1" applyFont="1" applyFill="1"/>
    <xf numFmtId="10" fontId="12" fillId="0" borderId="0" xfId="0" applyNumberFormat="1" applyFont="1"/>
    <xf numFmtId="10" fontId="13" fillId="0" borderId="0" xfId="0" applyNumberFormat="1" applyFont="1"/>
    <xf numFmtId="10" fontId="12" fillId="2" borderId="1" xfId="0" applyNumberFormat="1" applyFont="1" applyFill="1" applyBorder="1"/>
    <xf numFmtId="165" fontId="5" fillId="0" borderId="0" xfId="0" applyNumberFormat="1" applyFont="1"/>
    <xf numFmtId="38" fontId="5" fillId="2" borderId="1" xfId="0" applyNumberFormat="1" applyFont="1" applyFill="1" applyBorder="1"/>
    <xf numFmtId="10" fontId="13" fillId="2" borderId="0" xfId="0" applyNumberFormat="1" applyFont="1" applyFill="1"/>
    <xf numFmtId="10" fontId="13" fillId="2" borderId="1" xfId="0" applyNumberFormat="1" applyFont="1" applyFill="1" applyBorder="1"/>
    <xf numFmtId="167" fontId="15" fillId="3" borderId="0" xfId="0" applyNumberFormat="1" applyFont="1" applyFill="1" applyAlignment="1">
      <alignment horizontal="right"/>
    </xf>
    <xf numFmtId="167" fontId="15" fillId="0" borderId="0" xfId="0" applyNumberFormat="1" applyFont="1" applyAlignment="1">
      <alignment horizontal="right"/>
    </xf>
    <xf numFmtId="167" fontId="15" fillId="3" borderId="1" xfId="0" applyNumberFormat="1" applyFont="1" applyFill="1" applyBorder="1" applyAlignment="1">
      <alignment horizontal="right"/>
    </xf>
    <xf numFmtId="10" fontId="5" fillId="2" borderId="0" xfId="0" applyNumberFormat="1" applyFont="1" applyFill="1"/>
    <xf numFmtId="10" fontId="3" fillId="2" borderId="0" xfId="0" applyNumberFormat="1" applyFont="1" applyFill="1"/>
    <xf numFmtId="10" fontId="3" fillId="0" borderId="0" xfId="0" applyNumberFormat="1" applyFont="1"/>
    <xf numFmtId="10" fontId="5" fillId="0" borderId="0" xfId="0" applyNumberFormat="1" applyFont="1"/>
    <xf numFmtId="10" fontId="3" fillId="2" borderId="1" xfId="0" applyNumberFormat="1" applyFont="1" applyFill="1" applyBorder="1"/>
    <xf numFmtId="10" fontId="14" fillId="0" borderId="0" xfId="0" applyNumberFormat="1" applyFont="1"/>
    <xf numFmtId="1" fontId="4" fillId="0" borderId="0" xfId="0" applyNumberFormat="1" applyFont="1"/>
    <xf numFmtId="1" fontId="3" fillId="0" borderId="0" xfId="0" applyNumberFormat="1" applyFont="1"/>
    <xf numFmtId="1" fontId="5" fillId="0" borderId="0" xfId="0" applyNumberFormat="1" applyFont="1"/>
    <xf numFmtId="10" fontId="14" fillId="2" borderId="0" xfId="0" applyNumberFormat="1" applyFont="1" applyFill="1"/>
    <xf numFmtId="10" fontId="16" fillId="2" borderId="0" xfId="0" applyNumberFormat="1" applyFont="1" applyFill="1"/>
    <xf numFmtId="10" fontId="17" fillId="2" borderId="0" xfId="0" applyNumberFormat="1" applyFont="1" applyFill="1"/>
    <xf numFmtId="10" fontId="16" fillId="0" borderId="0" xfId="0" applyNumberFormat="1" applyFont="1"/>
    <xf numFmtId="3" fontId="0" fillId="0" borderId="0" xfId="0" applyNumberFormat="1" applyAlignment="1">
      <alignment horizontal="left"/>
    </xf>
    <xf numFmtId="3" fontId="5" fillId="0" borderId="0" xfId="0" applyNumberFormat="1" applyFont="1" applyAlignment="1">
      <alignment horizontal="left"/>
    </xf>
    <xf numFmtId="37" fontId="5" fillId="2" borderId="0" xfId="0" applyNumberFormat="1" applyFont="1" applyFill="1"/>
    <xf numFmtId="37" fontId="3" fillId="2" borderId="0" xfId="0" applyNumberFormat="1" applyFont="1" applyFill="1" applyAlignment="1">
      <alignment horizontal="right"/>
    </xf>
    <xf numFmtId="37" fontId="3" fillId="0" borderId="0" xfId="0" applyNumberFormat="1" applyFont="1" applyAlignment="1">
      <alignment horizontal="right"/>
    </xf>
    <xf numFmtId="37" fontId="5" fillId="0" borderId="0" xfId="0" applyNumberFormat="1" applyFont="1"/>
    <xf numFmtId="37" fontId="3" fillId="2" borderId="1" xfId="0" applyNumberFormat="1" applyFont="1" applyFill="1" applyBorder="1" applyAlignment="1">
      <alignment horizontal="right"/>
    </xf>
    <xf numFmtId="37" fontId="0" fillId="2" borderId="0" xfId="0" applyNumberFormat="1" applyFill="1"/>
    <xf numFmtId="37" fontId="4" fillId="2" borderId="0" xfId="0" applyNumberFormat="1" applyFont="1" applyFill="1"/>
    <xf numFmtId="37" fontId="4" fillId="0" borderId="0" xfId="0" applyNumberFormat="1" applyFont="1"/>
    <xf numFmtId="37" fontId="0" fillId="0" borderId="0" xfId="0" applyNumberFormat="1"/>
    <xf numFmtId="37" fontId="4" fillId="2" borderId="1" xfId="0" applyNumberFormat="1" applyFont="1" applyFill="1" applyBorder="1"/>
    <xf numFmtId="37" fontId="0" fillId="2" borderId="1" xfId="0" applyNumberFormat="1" applyFill="1" applyBorder="1"/>
    <xf numFmtId="37" fontId="3" fillId="2" borderId="0" xfId="0" applyNumberFormat="1" applyFont="1" applyFill="1"/>
    <xf numFmtId="37" fontId="3" fillId="0" borderId="0" xfId="0" applyNumberFormat="1" applyFont="1"/>
    <xf numFmtId="37" fontId="3" fillId="2" borderId="1" xfId="0" applyNumberFormat="1" applyFont="1" applyFill="1" applyBorder="1"/>
    <xf numFmtId="37" fontId="5" fillId="2" borderId="1" xfId="0" applyNumberFormat="1" applyFont="1" applyFill="1" applyBorder="1"/>
    <xf numFmtId="0" fontId="20" fillId="4" borderId="0" xfId="0" applyFont="1" applyFill="1" applyAlignment="1">
      <alignment horizontal="center" vertical="center"/>
    </xf>
    <xf numFmtId="0" fontId="21" fillId="4" borderId="0" xfId="0" applyFont="1" applyFill="1"/>
    <xf numFmtId="0" fontId="21" fillId="4" borderId="1" xfId="0" applyFont="1" applyFill="1" applyBorder="1"/>
    <xf numFmtId="37" fontId="19" fillId="3" borderId="0" xfId="0" applyNumberFormat="1" applyFont="1" applyFill="1" applyAlignment="1">
      <alignment horizontal="right"/>
    </xf>
    <xf numFmtId="37" fontId="19" fillId="0" borderId="0" xfId="0" applyNumberFormat="1" applyFont="1" applyAlignment="1">
      <alignment horizontal="right"/>
    </xf>
    <xf numFmtId="37" fontId="19" fillId="3" borderId="1" xfId="0" applyNumberFormat="1" applyFont="1" applyFill="1" applyBorder="1" applyAlignment="1">
      <alignment horizontal="right"/>
    </xf>
    <xf numFmtId="3" fontId="13" fillId="0" borderId="0" xfId="0" applyNumberFormat="1" applyFont="1" applyAlignment="1">
      <alignment horizontal="left"/>
    </xf>
    <xf numFmtId="37" fontId="11" fillId="0" borderId="0" xfId="0" applyNumberFormat="1" applyFont="1"/>
    <xf numFmtId="37" fontId="10" fillId="2" borderId="0" xfId="0" applyNumberFormat="1" applyFont="1" applyFill="1"/>
    <xf numFmtId="39" fontId="5" fillId="2" borderId="0" xfId="0" applyNumberFormat="1" applyFont="1" applyFill="1"/>
    <xf numFmtId="39" fontId="5" fillId="0" borderId="0" xfId="0" applyNumberFormat="1" applyFont="1"/>
    <xf numFmtId="39" fontId="5" fillId="2" borderId="1" xfId="0" applyNumberFormat="1" applyFont="1" applyFill="1" applyBorder="1"/>
    <xf numFmtId="39" fontId="0" fillId="2" borderId="0" xfId="0" applyNumberFormat="1" applyFill="1"/>
    <xf numFmtId="39" fontId="4" fillId="2" borderId="0" xfId="0" applyNumberFormat="1" applyFont="1" applyFill="1"/>
    <xf numFmtId="39" fontId="4" fillId="0" borderId="0" xfId="0" applyNumberFormat="1" applyFont="1"/>
    <xf numFmtId="39" fontId="4" fillId="2" borderId="1" xfId="0" applyNumberFormat="1" applyFont="1" applyFill="1" applyBorder="1"/>
    <xf numFmtId="2" fontId="0" fillId="0" borderId="0" xfId="0" applyNumberFormat="1"/>
    <xf numFmtId="2" fontId="0" fillId="2" borderId="0" xfId="0" applyNumberFormat="1" applyFill="1"/>
    <xf numFmtId="168" fontId="4" fillId="2" borderId="1" xfId="0" applyNumberFormat="1" applyFont="1" applyFill="1" applyBorder="1"/>
    <xf numFmtId="2" fontId="4" fillId="0" borderId="0" xfId="0" applyNumberFormat="1" applyFont="1"/>
    <xf numFmtId="39" fontId="3" fillId="0" borderId="0" xfId="0" applyNumberFormat="1" applyFont="1"/>
    <xf numFmtId="39" fontId="3" fillId="2" borderId="1" xfId="0" applyNumberFormat="1" applyFont="1" applyFill="1" applyBorder="1"/>
    <xf numFmtId="2" fontId="22" fillId="0" borderId="0" xfId="0" applyNumberFormat="1" applyFont="1" applyAlignment="1">
      <alignment horizontal="right"/>
    </xf>
    <xf numFmtId="37" fontId="23" fillId="0" borderId="0" xfId="0" applyNumberFormat="1" applyFont="1" applyAlignment="1">
      <alignment horizontal="right"/>
    </xf>
    <xf numFmtId="37" fontId="23" fillId="3" borderId="0" xfId="0" applyNumberFormat="1" applyFont="1" applyFill="1" applyAlignment="1">
      <alignment horizontal="right"/>
    </xf>
    <xf numFmtId="0" fontId="13" fillId="2" borderId="0" xfId="0" applyFont="1" applyFill="1"/>
    <xf numFmtId="0" fontId="13" fillId="0" borderId="0" xfId="0" applyFont="1"/>
    <xf numFmtId="39" fontId="0" fillId="0" borderId="0" xfId="0" applyNumberFormat="1"/>
    <xf numFmtId="169" fontId="5" fillId="0" borderId="0" xfId="0" applyNumberFormat="1" applyFont="1"/>
    <xf numFmtId="37" fontId="0" fillId="0" borderId="10" xfId="0" applyNumberFormat="1" applyBorder="1"/>
    <xf numFmtId="0" fontId="0" fillId="0" borderId="10" xfId="0" applyBorder="1"/>
    <xf numFmtId="0" fontId="5" fillId="0" borderId="8" xfId="0" applyFont="1" applyBorder="1"/>
    <xf numFmtId="0" fontId="20" fillId="4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1" xfId="0" applyBorder="1"/>
    <xf numFmtId="0" fontId="5" fillId="0" borderId="12" xfId="0" applyFont="1" applyBorder="1"/>
    <xf numFmtId="0" fontId="24" fillId="0" borderId="0" xfId="0" applyFont="1"/>
    <xf numFmtId="10" fontId="25" fillId="2" borderId="0" xfId="0" applyNumberFormat="1" applyFont="1" applyFill="1"/>
    <xf numFmtId="0" fontId="5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170" fontId="0" fillId="0" borderId="0" xfId="0" applyNumberFormat="1"/>
    <xf numFmtId="9" fontId="0" fillId="0" borderId="0" xfId="0" applyNumberFormat="1" applyAlignment="1">
      <alignment horizontal="left"/>
    </xf>
    <xf numFmtId="164" fontId="3" fillId="2" borderId="0" xfId="0" applyNumberFormat="1" applyFont="1" applyFill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0" fontId="21" fillId="4" borderId="1" xfId="0" applyFont="1" applyFill="1" applyBorder="1" applyAlignment="1">
      <alignment horizontal="center"/>
    </xf>
    <xf numFmtId="3" fontId="5" fillId="5" borderId="0" xfId="0" applyNumberFormat="1" applyFont="1" applyFill="1" applyAlignment="1">
      <alignment horizontal="center"/>
    </xf>
    <xf numFmtId="37" fontId="5" fillId="5" borderId="0" xfId="0" applyNumberFormat="1" applyFont="1" applyFill="1" applyAlignment="1">
      <alignment horizontal="center"/>
    </xf>
    <xf numFmtId="37" fontId="3" fillId="5" borderId="0" xfId="0" applyNumberFormat="1" applyFont="1" applyFill="1" applyAlignment="1">
      <alignment horizontal="center"/>
    </xf>
    <xf numFmtId="37" fontId="3" fillId="5" borderId="1" xfId="0" applyNumberFormat="1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2" fontId="5" fillId="5" borderId="0" xfId="0" applyNumberFormat="1" applyFont="1" applyFill="1" applyAlignment="1">
      <alignment horizontal="center"/>
    </xf>
  </cellXfs>
  <cellStyles count="4">
    <cellStyle name="Currency 2 2" xfId="3" xr:uid="{F9FC0B29-A7B0-4C75-B9B4-58F467ACB500}"/>
    <cellStyle name="Hyperlink" xfId="1" builtinId="8"/>
    <cellStyle name="Normal" xfId="0" builtinId="0"/>
    <cellStyle name="Normal 4" xfId="2" xr:uid="{6CC94DC0-AFC6-4214-89EF-77E59E55AE94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KQ%20LKQ%20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M12MTVUSM227NFWA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investor.lkqcorp.com/news/news-details/2024/LKQ-Corporation-Announces-Results-for-Fourth-Quarter-and-Full-Year-2023/default.aspx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my-ibisworld-com.ezp-prod1.hul.harvard.edu/us/en/industry/42314/companies" TargetMode="External"/><Relationship Id="rId4" Type="http://schemas.openxmlformats.org/officeDocument/2006/relationships/hyperlink" Target="https://www.businessresearchinsights.com/market-reports/aftermarket-auto-parts-market-10937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D0C53-195A-4C0B-87FA-9D9CCE175C69}">
  <dimension ref="A5:S82"/>
  <sheetViews>
    <sheetView topLeftCell="A14" workbookViewId="0">
      <selection activeCell="I24" sqref="B24:I33"/>
    </sheetView>
  </sheetViews>
  <sheetFormatPr defaultRowHeight="15"/>
  <cols>
    <col min="2" max="2" width="60.140625" customWidth="1"/>
    <col min="3" max="3" width="9.5703125" customWidth="1"/>
    <col min="4" max="4" width="9.28515625" bestFit="1" customWidth="1"/>
    <col min="9" max="9" width="9.42578125" customWidth="1"/>
    <col min="10" max="10" width="14" customWidth="1"/>
    <col min="11" max="13" width="9.28515625" bestFit="1" customWidth="1"/>
    <col min="16" max="16" width="9.140625" customWidth="1"/>
    <col min="19" max="19" width="18" customWidth="1"/>
    <col min="20" max="20" width="3.42578125" customWidth="1"/>
  </cols>
  <sheetData>
    <row r="5" spans="2:19">
      <c r="C5" s="11" t="s">
        <v>0</v>
      </c>
      <c r="D5" s="12"/>
      <c r="E5" s="13" t="s">
        <v>1</v>
      </c>
      <c r="F5" s="13" t="s">
        <v>2</v>
      </c>
      <c r="G5" s="13"/>
      <c r="H5" s="11" t="s">
        <v>3</v>
      </c>
      <c r="I5" s="13"/>
      <c r="J5" s="13"/>
      <c r="K5" s="13" t="s">
        <v>1</v>
      </c>
      <c r="L5" s="13" t="s">
        <v>2</v>
      </c>
      <c r="M5" s="13"/>
      <c r="N5" s="11" t="s">
        <v>4</v>
      </c>
      <c r="O5" s="13"/>
      <c r="P5" s="13"/>
      <c r="Q5" s="13" t="s">
        <v>1</v>
      </c>
      <c r="R5" s="13" t="s">
        <v>2</v>
      </c>
      <c r="S5" s="14"/>
    </row>
    <row r="6" spans="2:19">
      <c r="C6" s="15" t="s">
        <v>5</v>
      </c>
      <c r="E6" s="7">
        <v>4.6800000000000001E-2</v>
      </c>
      <c r="F6" s="18" t="s">
        <v>6</v>
      </c>
      <c r="H6" s="15" t="s">
        <v>7</v>
      </c>
      <c r="K6" s="17">
        <v>0.36</v>
      </c>
      <c r="L6" t="s">
        <v>8</v>
      </c>
      <c r="N6" s="15" t="s">
        <v>9</v>
      </c>
      <c r="Q6" s="33">
        <v>0</v>
      </c>
      <c r="R6" t="s">
        <v>10</v>
      </c>
      <c r="S6" s="16"/>
    </row>
    <row r="7" spans="2:19">
      <c r="C7" s="15"/>
      <c r="H7" s="15" t="s">
        <v>11</v>
      </c>
      <c r="K7" s="7">
        <v>5.4199999999999998E-2</v>
      </c>
      <c r="L7" s="46" t="s">
        <v>12</v>
      </c>
      <c r="N7" s="15" t="s">
        <v>13</v>
      </c>
      <c r="Q7" s="7">
        <f>Q14*((1+K7)*(1+K8)*(1+K9)-1)</f>
        <v>5.7290556600000112E-2</v>
      </c>
      <c r="R7" s="10" t="s">
        <v>14</v>
      </c>
      <c r="S7" s="16"/>
    </row>
    <row r="8" spans="2:19">
      <c r="C8" s="15"/>
      <c r="H8" s="15" t="s">
        <v>15</v>
      </c>
      <c r="K8" s="7">
        <v>-9.5999999999999992E-3</v>
      </c>
      <c r="L8" s="46" t="s">
        <v>16</v>
      </c>
      <c r="N8" s="15" t="s">
        <v>17</v>
      </c>
      <c r="Q8" s="7">
        <v>6.5000000000000002E-2</v>
      </c>
      <c r="S8" s="16"/>
    </row>
    <row r="9" spans="2:19">
      <c r="C9" s="15"/>
      <c r="H9" s="15" t="s">
        <v>18</v>
      </c>
      <c r="K9" s="7">
        <v>1.8749999999999999E-2</v>
      </c>
      <c r="L9" s="46" t="s">
        <v>19</v>
      </c>
      <c r="N9" s="15" t="s">
        <v>20</v>
      </c>
      <c r="Q9" s="106">
        <v>2</v>
      </c>
      <c r="R9" s="10" t="s">
        <v>21</v>
      </c>
      <c r="S9" s="16"/>
    </row>
    <row r="10" spans="2:19">
      <c r="C10" s="15"/>
      <c r="H10" s="15" t="s">
        <v>22</v>
      </c>
      <c r="K10" s="7">
        <v>6.83E-2</v>
      </c>
      <c r="L10" t="s">
        <v>23</v>
      </c>
      <c r="N10" s="15" t="s">
        <v>24</v>
      </c>
      <c r="Q10" s="7">
        <v>2.5000000000000001E-3</v>
      </c>
      <c r="S10" s="16"/>
    </row>
    <row r="11" spans="2:19">
      <c r="C11" s="15" t="s">
        <v>25</v>
      </c>
      <c r="H11" s="15"/>
      <c r="N11" s="15" t="s">
        <v>26</v>
      </c>
      <c r="Q11" s="7">
        <v>0.26800000000000002</v>
      </c>
      <c r="R11" s="18" t="s">
        <v>27</v>
      </c>
      <c r="S11" s="16"/>
    </row>
    <row r="12" spans="2:19">
      <c r="C12" s="15"/>
      <c r="H12" s="15"/>
      <c r="K12" s="33"/>
      <c r="N12" s="15" t="s">
        <v>28</v>
      </c>
      <c r="Q12">
        <v>1.28</v>
      </c>
      <c r="R12" s="10" t="s">
        <v>29</v>
      </c>
      <c r="S12" s="16"/>
    </row>
    <row r="13" spans="2:19">
      <c r="C13" s="15"/>
      <c r="H13" s="15"/>
      <c r="K13" s="7"/>
      <c r="N13" s="15" t="s">
        <v>30</v>
      </c>
      <c r="Q13">
        <v>0.2</v>
      </c>
      <c r="R13" s="10"/>
      <c r="S13" s="16"/>
    </row>
    <row r="14" spans="2:19">
      <c r="C14" s="19"/>
      <c r="D14" s="20"/>
      <c r="E14" s="20"/>
      <c r="F14" s="20"/>
      <c r="G14" s="20"/>
      <c r="H14" s="19"/>
      <c r="I14" s="20"/>
      <c r="J14" s="20"/>
      <c r="K14" s="20"/>
      <c r="L14" s="20"/>
      <c r="M14" s="20"/>
      <c r="N14" s="19" t="s">
        <v>31</v>
      </c>
      <c r="O14" s="20"/>
      <c r="P14" s="20"/>
      <c r="Q14" s="34">
        <v>0.9</v>
      </c>
      <c r="R14" s="20" t="s">
        <v>8</v>
      </c>
      <c r="S14" s="21"/>
    </row>
    <row r="15" spans="2:19">
      <c r="Q15" s="33"/>
    </row>
    <row r="16" spans="2:19">
      <c r="B16" s="6" t="s">
        <v>32</v>
      </c>
      <c r="C16" t="s">
        <v>33</v>
      </c>
      <c r="G16" s="1"/>
    </row>
    <row r="17" spans="2:18" ht="16.5">
      <c r="B17" t="s">
        <v>34</v>
      </c>
      <c r="C17" s="2" t="s">
        <v>35</v>
      </c>
      <c r="G17" s="32"/>
    </row>
    <row r="18" spans="2:18">
      <c r="B18" t="s">
        <v>36</v>
      </c>
      <c r="C18" s="2" t="s">
        <v>37</v>
      </c>
    </row>
    <row r="19" spans="2:18">
      <c r="B19" t="s">
        <v>38</v>
      </c>
      <c r="C19" s="2" t="s">
        <v>39</v>
      </c>
    </row>
    <row r="20" spans="2:18">
      <c r="B20" t="s">
        <v>40</v>
      </c>
      <c r="C20" s="2" t="s">
        <v>41</v>
      </c>
    </row>
    <row r="21" spans="2:18">
      <c r="B21" t="s">
        <v>42</v>
      </c>
      <c r="C21" s="2" t="s">
        <v>43</v>
      </c>
    </row>
    <row r="22" spans="2:18">
      <c r="B22" t="s">
        <v>44</v>
      </c>
      <c r="C22" s="131">
        <v>0.5</v>
      </c>
    </row>
    <row r="24" spans="2:18">
      <c r="B24" s="2"/>
      <c r="C24" s="22">
        <v>2021</v>
      </c>
      <c r="D24" s="22">
        <v>2022</v>
      </c>
      <c r="E24" s="3" t="s">
        <v>45</v>
      </c>
      <c r="F24" s="3" t="s">
        <v>46</v>
      </c>
      <c r="G24" s="3" t="s">
        <v>47</v>
      </c>
      <c r="H24" s="3" t="s">
        <v>48</v>
      </c>
      <c r="I24" s="25" t="s">
        <v>49</v>
      </c>
      <c r="J24" s="3" t="s">
        <v>50</v>
      </c>
      <c r="K24" s="3" t="s">
        <v>51</v>
      </c>
      <c r="L24" s="3" t="s">
        <v>52</v>
      </c>
      <c r="M24" s="3" t="s">
        <v>53</v>
      </c>
      <c r="N24" s="22" t="s">
        <v>33</v>
      </c>
      <c r="O24" s="22" t="s">
        <v>54</v>
      </c>
      <c r="P24" s="22" t="s">
        <v>55</v>
      </c>
      <c r="Q24" s="22" t="s">
        <v>56</v>
      </c>
      <c r="R24" s="22" t="s">
        <v>57</v>
      </c>
    </row>
    <row r="25" spans="2:18">
      <c r="B25" s="90" t="s">
        <v>58</v>
      </c>
      <c r="C25" s="91"/>
      <c r="D25" s="91"/>
      <c r="E25" s="91"/>
      <c r="F25" s="91"/>
      <c r="G25" s="91"/>
      <c r="H25" s="91"/>
      <c r="I25" s="92"/>
      <c r="J25" s="91"/>
      <c r="K25" s="91"/>
      <c r="L25" s="91"/>
      <c r="M25" s="91"/>
      <c r="N25" s="91"/>
      <c r="O25" s="91"/>
      <c r="P25" s="91"/>
      <c r="Q25" s="91"/>
      <c r="R25" s="91"/>
    </row>
    <row r="26" spans="2:18">
      <c r="B26" s="73" t="s">
        <v>59</v>
      </c>
      <c r="C26" s="80">
        <v>12141</v>
      </c>
      <c r="D26" s="81">
        <v>11936</v>
      </c>
      <c r="E26" s="82">
        <v>3152</v>
      </c>
      <c r="F26" s="83">
        <v>3259</v>
      </c>
      <c r="G26" s="83">
        <v>3407</v>
      </c>
      <c r="H26" s="83">
        <v>3356</v>
      </c>
      <c r="I26" s="84">
        <v>13177</v>
      </c>
      <c r="J26" s="83">
        <f>E26*(1+J27)</f>
        <v>3332.5798344032005</v>
      </c>
      <c r="K26" s="83">
        <f t="shared" ref="K26:M26" si="0">F26*(1+K27)</f>
        <v>3445.7099239594004</v>
      </c>
      <c r="L26" s="83">
        <f t="shared" si="0"/>
        <v>3602.1889263362004</v>
      </c>
      <c r="M26" s="83">
        <f t="shared" si="0"/>
        <v>3548.2671079496004</v>
      </c>
      <c r="N26" s="80">
        <f>SUM(J26:M26)</f>
        <v>13928.745792648402</v>
      </c>
      <c r="O26" s="80">
        <f>N26*(1+O27)</f>
        <v>14726.73139184914</v>
      </c>
      <c r="P26" s="80">
        <f t="shared" ref="P26:R26" si="1">O26*(1+P27)</f>
        <v>15570.434030186872</v>
      </c>
      <c r="Q26" s="80">
        <f t="shared" si="1"/>
        <v>16462.472862279861</v>
      </c>
      <c r="R26" s="80">
        <f t="shared" si="1"/>
        <v>16627.09759090266</v>
      </c>
    </row>
    <row r="27" spans="2:18">
      <c r="B27" s="96" t="s">
        <v>60</v>
      </c>
      <c r="C27" s="55"/>
      <c r="D27" s="49">
        <v>-1.6884935343052465E-2</v>
      </c>
      <c r="E27" s="50">
        <v>1.5463917525773141E-2</v>
      </c>
      <c r="F27" s="51">
        <v>5.401034928848647E-2</v>
      </c>
      <c r="G27" s="51">
        <v>0.17119284977655558</v>
      </c>
      <c r="H27" s="51">
        <v>0.18670438472418671</v>
      </c>
      <c r="I27" s="52">
        <v>0.10397117962466496</v>
      </c>
      <c r="J27" s="65">
        <f t="shared" ref="J27:L27" si="2">$N$27</f>
        <v>5.7290556600000112E-2</v>
      </c>
      <c r="K27" s="65">
        <f t="shared" si="2"/>
        <v>5.7290556600000112E-2</v>
      </c>
      <c r="L27" s="65">
        <f t="shared" si="2"/>
        <v>5.7290556600000112E-2</v>
      </c>
      <c r="M27" s="65">
        <f>$N$27</f>
        <v>5.7290556600000112E-2</v>
      </c>
      <c r="N27" s="69">
        <f>Q7</f>
        <v>5.7290556600000112E-2</v>
      </c>
      <c r="O27" s="69">
        <f>Q7</f>
        <v>5.7290556600000112E-2</v>
      </c>
      <c r="P27" s="69">
        <f>Q7</f>
        <v>5.7290556600000112E-2</v>
      </c>
      <c r="Q27" s="69">
        <f>Q7</f>
        <v>5.7290556600000112E-2</v>
      </c>
      <c r="R27" s="69">
        <v>0.01</v>
      </c>
    </row>
    <row r="28" spans="2:18">
      <c r="B28" s="73" t="s">
        <v>61</v>
      </c>
      <c r="C28" s="80">
        <v>948</v>
      </c>
      <c r="D28" s="81">
        <v>861</v>
      </c>
      <c r="E28" s="82">
        <v>197</v>
      </c>
      <c r="F28" s="83">
        <v>189</v>
      </c>
      <c r="G28" s="83">
        <v>161</v>
      </c>
      <c r="H28" s="83">
        <v>145</v>
      </c>
      <c r="I28" s="84">
        <v>692</v>
      </c>
      <c r="J28" s="83">
        <f>E28*(1+J29)</f>
        <v>197</v>
      </c>
      <c r="K28" s="83">
        <f t="shared" ref="K28" si="3">F28*(1+K29)</f>
        <v>189</v>
      </c>
      <c r="L28" s="83">
        <f t="shared" ref="L28" si="4">G28*(1+L29)</f>
        <v>161</v>
      </c>
      <c r="M28" s="83">
        <f t="shared" ref="M28" si="5">H28*(1+M29)</f>
        <v>145</v>
      </c>
      <c r="N28" s="80">
        <f>SUM(J28:M28)</f>
        <v>692</v>
      </c>
      <c r="O28" s="80">
        <f>N28*(1+O29)</f>
        <v>692</v>
      </c>
      <c r="P28" s="80">
        <f t="shared" ref="P28:R28" si="6">O28*(1+P29)</f>
        <v>692</v>
      </c>
      <c r="Q28" s="80">
        <f t="shared" si="6"/>
        <v>692</v>
      </c>
      <c r="R28" s="80">
        <f t="shared" si="6"/>
        <v>692</v>
      </c>
    </row>
    <row r="29" spans="2:18">
      <c r="B29" s="96" t="s">
        <v>60</v>
      </c>
      <c r="C29" s="55"/>
      <c r="D29" s="49">
        <v>-9.1772151898734222E-2</v>
      </c>
      <c r="E29" s="50">
        <v>-0.19262295081967218</v>
      </c>
      <c r="F29" s="51">
        <v>-0.24096385542168675</v>
      </c>
      <c r="G29" s="51">
        <v>-0.17435897435897441</v>
      </c>
      <c r="H29" s="51">
        <v>-0.16184971098265899</v>
      </c>
      <c r="I29" s="52">
        <v>-0.19628339140534268</v>
      </c>
      <c r="J29" s="65">
        <f t="shared" ref="J29:L29" si="7">$N$29</f>
        <v>0</v>
      </c>
      <c r="K29" s="65">
        <f t="shared" si="7"/>
        <v>0</v>
      </c>
      <c r="L29" s="65">
        <f t="shared" si="7"/>
        <v>0</v>
      </c>
      <c r="M29" s="65">
        <f>$N$29</f>
        <v>0</v>
      </c>
      <c r="N29" s="69">
        <f>$Q$6</f>
        <v>0</v>
      </c>
      <c r="O29" s="69">
        <f t="shared" ref="O29:R29" si="8">$Q$6</f>
        <v>0</v>
      </c>
      <c r="P29" s="69">
        <f t="shared" si="8"/>
        <v>0</v>
      </c>
      <c r="Q29" s="69">
        <f t="shared" si="8"/>
        <v>0</v>
      </c>
      <c r="R29" s="69">
        <f t="shared" si="8"/>
        <v>0</v>
      </c>
    </row>
    <row r="30" spans="2:18">
      <c r="B30" s="73" t="s">
        <v>62</v>
      </c>
      <c r="C30" s="80">
        <v>0</v>
      </c>
      <c r="D30" s="81">
        <v>-3</v>
      </c>
      <c r="E30" s="82">
        <v>-1</v>
      </c>
      <c r="F30" s="83">
        <v>-1</v>
      </c>
      <c r="G30" s="83">
        <v>-1</v>
      </c>
      <c r="H30" s="83">
        <v>-1</v>
      </c>
      <c r="I30" s="84">
        <v>-4</v>
      </c>
      <c r="J30">
        <v>0</v>
      </c>
      <c r="K30">
        <v>0</v>
      </c>
      <c r="L30">
        <v>0</v>
      </c>
      <c r="M30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</row>
    <row r="31" spans="2:18">
      <c r="B31" s="74" t="s">
        <v>63</v>
      </c>
      <c r="C31" s="75">
        <v>13088.504000000001</v>
      </c>
      <c r="D31" s="76">
        <v>12794</v>
      </c>
      <c r="E31" s="77">
        <v>3349</v>
      </c>
      <c r="F31" s="78">
        <v>3448</v>
      </c>
      <c r="G31" s="78">
        <v>3568</v>
      </c>
      <c r="H31" s="78">
        <v>3501</v>
      </c>
      <c r="I31" s="79">
        <v>13866</v>
      </c>
      <c r="J31" s="78">
        <f>J30+J28+J26</f>
        <v>3529.5798344032005</v>
      </c>
      <c r="K31" s="78">
        <f t="shared" ref="K31:M31" si="9">K30+K28+K26</f>
        <v>3634.7099239594004</v>
      </c>
      <c r="L31" s="78">
        <f t="shared" si="9"/>
        <v>3763.1889263362004</v>
      </c>
      <c r="M31" s="78">
        <f t="shared" si="9"/>
        <v>3693.2671079496004</v>
      </c>
      <c r="N31" s="75">
        <f>SUM(J31:M31)</f>
        <v>14620.745792648402</v>
      </c>
      <c r="O31" s="75">
        <f>O26+O28+O30</f>
        <v>15418.73139184914</v>
      </c>
      <c r="P31" s="75">
        <f t="shared" ref="P31:R31" si="10">P26+P28+P30</f>
        <v>16262.434030186872</v>
      </c>
      <c r="Q31" s="75">
        <f t="shared" si="10"/>
        <v>17154.472862279861</v>
      </c>
      <c r="R31" s="75">
        <f t="shared" si="10"/>
        <v>17319.09759090266</v>
      </c>
    </row>
    <row r="32" spans="2:18">
      <c r="B32" s="73" t="s">
        <v>64</v>
      </c>
      <c r="C32" s="80">
        <v>7742.9699999999993</v>
      </c>
      <c r="D32" s="81">
        <v>7544</v>
      </c>
      <c r="E32" s="82">
        <v>1970</v>
      </c>
      <c r="F32" s="83">
        <v>2025</v>
      </c>
      <c r="G32" s="83">
        <v>2170</v>
      </c>
      <c r="H32" s="83">
        <v>2090</v>
      </c>
      <c r="I32" s="84">
        <v>8255</v>
      </c>
      <c r="J32" s="83">
        <f>(1-J33)*J31</f>
        <v>2067.3994824158744</v>
      </c>
      <c r="K32" s="83">
        <f t="shared" ref="K32:M32" si="11">(1-K33)*K31</f>
        <v>2125.5674003692734</v>
      </c>
      <c r="L32" s="83">
        <f t="shared" si="11"/>
        <v>2279.302781649842</v>
      </c>
      <c r="M32" s="83">
        <f t="shared" si="11"/>
        <v>2195.5449686524807</v>
      </c>
      <c r="N32" s="80">
        <f>SUM(J32:M32)</f>
        <v>8667.8146330874697</v>
      </c>
      <c r="O32" s="80">
        <f>O31*(1-O33)</f>
        <v>9102.311192291776</v>
      </c>
      <c r="P32" s="80">
        <f t="shared" ref="P32:R32" si="12">P31*(1-P33)</f>
        <v>9559.7274695098349</v>
      </c>
      <c r="Q32" s="80">
        <f t="shared" si="12"/>
        <v>10041.2183954303</v>
      </c>
      <c r="R32" s="80">
        <f t="shared" si="12"/>
        <v>10094.282274841933</v>
      </c>
    </row>
    <row r="33" spans="2:18">
      <c r="B33" s="96" t="s">
        <v>65</v>
      </c>
      <c r="C33" s="55">
        <f>1-C32/C31</f>
        <v>0.40841443758583873</v>
      </c>
      <c r="D33" s="55">
        <f>1-D32/D31</f>
        <v>0.41034860090667502</v>
      </c>
      <c r="E33" s="50">
        <f t="shared" ref="E33:H33" si="13">1-E32/E31</f>
        <v>0.41176470588235292</v>
      </c>
      <c r="F33" s="51">
        <f t="shared" si="13"/>
        <v>0.41270301624129935</v>
      </c>
      <c r="G33" s="51">
        <f t="shared" si="13"/>
        <v>0.39181614349775784</v>
      </c>
      <c r="H33" s="51">
        <f t="shared" si="13"/>
        <v>0.40302770636960872</v>
      </c>
      <c r="I33" s="52">
        <f>1-I32/I31</f>
        <v>0.4046588778306649</v>
      </c>
      <c r="J33" s="65">
        <f>E33+$Q$10</f>
        <v>0.41426470588235292</v>
      </c>
      <c r="K33" s="65">
        <f t="shared" ref="K33:L33" si="14">F33+$Q$10</f>
        <v>0.41520301624129935</v>
      </c>
      <c r="L33" s="65">
        <f t="shared" si="14"/>
        <v>0.39431614349775784</v>
      </c>
      <c r="M33" s="65">
        <f>H33+$Q$10</f>
        <v>0.40552770636960872</v>
      </c>
      <c r="N33" s="69">
        <f>I33+$Q$10</f>
        <v>0.4071588778306649</v>
      </c>
      <c r="O33" s="69">
        <f>N33+$Q$10</f>
        <v>0.4096588778306649</v>
      </c>
      <c r="P33" s="69">
        <f t="shared" ref="P33:R33" si="15">O33+$Q$10</f>
        <v>0.4121588778306649</v>
      </c>
      <c r="Q33" s="69">
        <f t="shared" si="15"/>
        <v>0.41465887783066491</v>
      </c>
      <c r="R33" s="69">
        <f t="shared" si="15"/>
        <v>0.41715887783066491</v>
      </c>
    </row>
    <row r="34" spans="2:18">
      <c r="B34" s="73" t="s">
        <v>66</v>
      </c>
      <c r="C34" s="80">
        <v>3533.9960000000001</v>
      </c>
      <c r="D34" s="80">
        <v>3506</v>
      </c>
      <c r="E34" s="82">
        <v>921</v>
      </c>
      <c r="F34" s="83">
        <v>928</v>
      </c>
      <c r="G34" s="83">
        <v>970</v>
      </c>
      <c r="H34" s="83">
        <v>1011</v>
      </c>
      <c r="I34" s="85">
        <v>3830</v>
      </c>
      <c r="J34" s="43">
        <f>J35*J31</f>
        <v>952.98655528886422</v>
      </c>
      <c r="K34" s="43">
        <f t="shared" ref="K34:M34" si="16">K35*K31</f>
        <v>981.37167946903821</v>
      </c>
      <c r="L34" s="43">
        <f t="shared" si="16"/>
        <v>1016.0610101107742</v>
      </c>
      <c r="M34" s="43">
        <f t="shared" si="16"/>
        <v>997.18211914639221</v>
      </c>
      <c r="N34" s="80">
        <f>SUM(J34:M34)</f>
        <v>3947.6013640150691</v>
      </c>
      <c r="O34" s="80">
        <f>O35*O31</f>
        <v>4163.0574757992681</v>
      </c>
      <c r="P34" s="80">
        <f t="shared" ref="P34:R34" si="17">P35*P31</f>
        <v>4390.8571881504558</v>
      </c>
      <c r="Q34" s="80">
        <f t="shared" si="17"/>
        <v>4631.7076728155625</v>
      </c>
      <c r="R34" s="80">
        <f t="shared" si="17"/>
        <v>4676.1563495437185</v>
      </c>
    </row>
    <row r="35" spans="2:18">
      <c r="B35" s="96" t="s">
        <v>67</v>
      </c>
      <c r="C35" s="55">
        <f>C34/C31</f>
        <v>0.27000763418034635</v>
      </c>
      <c r="D35" s="55">
        <f>D34/D31</f>
        <v>0.27403470376739097</v>
      </c>
      <c r="E35" s="50">
        <f t="shared" ref="E35:I35" si="18">E34/E31</f>
        <v>0.27500746491489997</v>
      </c>
      <c r="F35" s="51">
        <f t="shared" si="18"/>
        <v>0.26914153132250579</v>
      </c>
      <c r="G35" s="51">
        <f t="shared" si="18"/>
        <v>0.27186098654708518</v>
      </c>
      <c r="H35" s="51">
        <f t="shared" si="18"/>
        <v>0.28877463581833762</v>
      </c>
      <c r="I35" s="52">
        <f t="shared" si="18"/>
        <v>0.27621520265397376</v>
      </c>
      <c r="J35" s="65">
        <v>0.27</v>
      </c>
      <c r="K35" s="65">
        <v>0.27</v>
      </c>
      <c r="L35" s="65">
        <v>0.27</v>
      </c>
      <c r="M35" s="65">
        <v>0.27</v>
      </c>
      <c r="N35" s="69">
        <v>0.27</v>
      </c>
      <c r="O35" s="69">
        <v>0.27</v>
      </c>
      <c r="P35" s="69">
        <v>0.27</v>
      </c>
      <c r="Q35" s="69">
        <v>0.27</v>
      </c>
      <c r="R35" s="69">
        <v>0.27</v>
      </c>
    </row>
    <row r="36" spans="2:18">
      <c r="B36" s="74" t="s">
        <v>68</v>
      </c>
      <c r="C36" s="75">
        <v>1811.5380000000014</v>
      </c>
      <c r="D36" s="86">
        <v>1744</v>
      </c>
      <c r="E36" s="87">
        <v>458</v>
      </c>
      <c r="F36" s="87">
        <v>495</v>
      </c>
      <c r="G36" s="87">
        <v>428</v>
      </c>
      <c r="H36" s="87">
        <v>400</v>
      </c>
      <c r="I36" s="88">
        <v>1781</v>
      </c>
      <c r="J36" s="87">
        <f>J31-J32-J34</f>
        <v>509.19379669846182</v>
      </c>
      <c r="K36" s="87">
        <f t="shared" ref="K36:M36" si="19">K31-K32-K34</f>
        <v>527.77084412108877</v>
      </c>
      <c r="L36" s="87">
        <f t="shared" si="19"/>
        <v>467.82513457558423</v>
      </c>
      <c r="M36" s="87">
        <f t="shared" si="19"/>
        <v>500.5400201507274</v>
      </c>
      <c r="N36" s="75">
        <f>SUM(J36:M36)</f>
        <v>2005.329795545862</v>
      </c>
      <c r="O36" s="75">
        <f>O31-O32-O34</f>
        <v>2153.3627237580959</v>
      </c>
      <c r="P36" s="75">
        <f t="shared" ref="P36:Q36" si="20">P31-P32-P34</f>
        <v>2311.8493725265816</v>
      </c>
      <c r="Q36" s="75">
        <f t="shared" si="20"/>
        <v>2481.5467940339986</v>
      </c>
      <c r="R36" s="75">
        <f>R31-R32-R34</f>
        <v>2548.6589665170086</v>
      </c>
    </row>
    <row r="37" spans="2:18">
      <c r="B37" s="73" t="s">
        <v>69</v>
      </c>
      <c r="C37" s="80">
        <v>33.735999999999997</v>
      </c>
      <c r="D37" s="80">
        <v>38</v>
      </c>
      <c r="E37" s="82">
        <v>10</v>
      </c>
      <c r="F37" s="82">
        <v>10</v>
      </c>
      <c r="G37" s="82">
        <v>9</v>
      </c>
      <c r="H37" s="82">
        <v>11</v>
      </c>
      <c r="I37" s="85">
        <v>40</v>
      </c>
      <c r="J37" s="41">
        <f>J38*J36</f>
        <v>11.436132435675729</v>
      </c>
      <c r="K37" s="41">
        <f t="shared" ref="K37:M37" si="21">K38*K36</f>
        <v>11.853359778126642</v>
      </c>
      <c r="L37" s="41">
        <f t="shared" si="21"/>
        <v>10.507021551388753</v>
      </c>
      <c r="M37" s="41">
        <f t="shared" si="21"/>
        <v>11.241774736681132</v>
      </c>
      <c r="N37" s="80">
        <f>SUM(J37:M37)</f>
        <v>45.038288501872252</v>
      </c>
      <c r="O37" s="80">
        <f>O38*O36</f>
        <v>48.363003341001587</v>
      </c>
      <c r="P37" s="80">
        <f t="shared" ref="P37:R37" si="22">P38*P36</f>
        <v>51.922501348154555</v>
      </c>
      <c r="Q37" s="80">
        <f t="shared" si="22"/>
        <v>55.733785379764143</v>
      </c>
      <c r="R37" s="80">
        <f t="shared" si="22"/>
        <v>57.241077294037247</v>
      </c>
    </row>
    <row r="38" spans="2:18">
      <c r="B38" s="96" t="s">
        <v>70</v>
      </c>
      <c r="C38" s="55">
        <f>C37/C36</f>
        <v>1.8622849755290792E-2</v>
      </c>
      <c r="D38" s="55">
        <f>D37/D36</f>
        <v>2.1788990825688075E-2</v>
      </c>
      <c r="E38" s="50">
        <f t="shared" ref="E38:I38" si="23">E37/E36</f>
        <v>2.1834061135371178E-2</v>
      </c>
      <c r="F38" s="51">
        <f t="shared" si="23"/>
        <v>2.0202020202020204E-2</v>
      </c>
      <c r="G38" s="51">
        <f t="shared" si="23"/>
        <v>2.1028037383177569E-2</v>
      </c>
      <c r="H38" s="51">
        <f t="shared" si="23"/>
        <v>2.75E-2</v>
      </c>
      <c r="I38" s="52">
        <f t="shared" si="23"/>
        <v>2.2459292532285232E-2</v>
      </c>
      <c r="J38" s="65">
        <f>$I$38</f>
        <v>2.2459292532285232E-2</v>
      </c>
      <c r="K38" s="65">
        <f t="shared" ref="K38:M38" si="24">$I$38</f>
        <v>2.2459292532285232E-2</v>
      </c>
      <c r="L38" s="65">
        <f t="shared" si="24"/>
        <v>2.2459292532285232E-2</v>
      </c>
      <c r="M38" s="65">
        <f t="shared" si="24"/>
        <v>2.2459292532285232E-2</v>
      </c>
      <c r="N38" s="69">
        <f>N37/N36</f>
        <v>2.2459292532285232E-2</v>
      </c>
      <c r="O38" s="69">
        <f>$I$38</f>
        <v>2.2459292532285232E-2</v>
      </c>
      <c r="P38" s="69">
        <f t="shared" ref="P38:R38" si="25">$I$38</f>
        <v>2.2459292532285232E-2</v>
      </c>
      <c r="Q38" s="69">
        <f t="shared" si="25"/>
        <v>2.2459292532285232E-2</v>
      </c>
      <c r="R38" s="69">
        <f t="shared" si="25"/>
        <v>2.2459292532285232E-2</v>
      </c>
    </row>
    <row r="39" spans="2:18">
      <c r="B39" s="73" t="s">
        <v>71</v>
      </c>
      <c r="C39" s="80">
        <v>284.00299999999999</v>
      </c>
      <c r="D39" s="81">
        <v>264</v>
      </c>
      <c r="E39" s="82">
        <v>65</v>
      </c>
      <c r="F39" s="82">
        <v>70</v>
      </c>
      <c r="G39" s="82">
        <v>84</v>
      </c>
      <c r="H39" s="82">
        <v>100</v>
      </c>
      <c r="I39" s="84">
        <v>319</v>
      </c>
      <c r="J39" s="82">
        <f>J40*J31</f>
        <v>76.873362146093072</v>
      </c>
      <c r="K39" s="82">
        <f t="shared" ref="K39:M39" si="26">K40*K31</f>
        <v>79.163069087449585</v>
      </c>
      <c r="L39" s="82">
        <f t="shared" si="26"/>
        <v>81.961309484681024</v>
      </c>
      <c r="M39" s="82">
        <f t="shared" si="26"/>
        <v>80.438429844913557</v>
      </c>
      <c r="N39" s="80">
        <f>SUM(J39:M39)</f>
        <v>318.43617056313724</v>
      </c>
      <c r="O39" s="80">
        <f>O40*O31</f>
        <v>335.81609645595893</v>
      </c>
      <c r="P39" s="80">
        <f t="shared" ref="P39:R39" si="27">P40*P31</f>
        <v>354.19172797684706</v>
      </c>
      <c r="Q39" s="80">
        <f t="shared" si="27"/>
        <v>373.6201096554434</v>
      </c>
      <c r="R39" s="80">
        <f t="shared" si="27"/>
        <v>377.20559489033474</v>
      </c>
    </row>
    <row r="40" spans="2:18">
      <c r="B40" s="96" t="s">
        <v>72</v>
      </c>
      <c r="C40" s="55">
        <f>C39/C31</f>
        <v>2.1698660137170755E-2</v>
      </c>
      <c r="D40" s="55">
        <f t="shared" ref="D40:I40" si="28">D39/D31</f>
        <v>2.0634672502735658E-2</v>
      </c>
      <c r="E40" s="50">
        <f t="shared" si="28"/>
        <v>1.9408778739922364E-2</v>
      </c>
      <c r="F40" s="51">
        <f t="shared" si="28"/>
        <v>2.0301624129930394E-2</v>
      </c>
      <c r="G40" s="51">
        <f t="shared" si="28"/>
        <v>2.3542600896860985E-2</v>
      </c>
      <c r="H40" s="51">
        <f t="shared" si="28"/>
        <v>2.8563267637817767E-2</v>
      </c>
      <c r="I40" s="52">
        <f t="shared" si="28"/>
        <v>2.3005913745853167E-2</v>
      </c>
      <c r="J40" s="65">
        <f t="shared" ref="J40:L40" si="29">$N$40</f>
        <v>2.1779748795253195E-2</v>
      </c>
      <c r="K40" s="65">
        <f t="shared" si="29"/>
        <v>2.1779748795253195E-2</v>
      </c>
      <c r="L40" s="65">
        <f t="shared" si="29"/>
        <v>2.1779748795253195E-2</v>
      </c>
      <c r="M40" s="65">
        <f>$N$40</f>
        <v>2.1779748795253195E-2</v>
      </c>
      <c r="N40" s="69">
        <f>AVERAGE(I40,D40,C40)</f>
        <v>2.1779748795253195E-2</v>
      </c>
      <c r="O40" s="69">
        <f>N40</f>
        <v>2.1779748795253195E-2</v>
      </c>
      <c r="P40" s="69">
        <f t="shared" ref="P40:R40" si="30">O40</f>
        <v>2.1779748795253195E-2</v>
      </c>
      <c r="Q40" s="69">
        <f t="shared" si="30"/>
        <v>2.1779748795253195E-2</v>
      </c>
      <c r="R40" s="69">
        <f t="shared" si="30"/>
        <v>2.1779748795253195E-2</v>
      </c>
    </row>
    <row r="41" spans="2:18">
      <c r="B41" s="73" t="s">
        <v>73</v>
      </c>
      <c r="C41" s="80">
        <v>70.292000000000002</v>
      </c>
      <c r="D41" s="81">
        <v>70</v>
      </c>
      <c r="E41" s="82">
        <v>33</v>
      </c>
      <c r="F41" s="82">
        <v>42</v>
      </c>
      <c r="G41" s="82">
        <v>53</v>
      </c>
      <c r="H41" s="82">
        <v>58</v>
      </c>
      <c r="I41" s="85">
        <v>186</v>
      </c>
      <c r="J41" s="97">
        <v>73.039341188524588</v>
      </c>
      <c r="K41" s="97">
        <v>81.837903688524591</v>
      </c>
      <c r="L41" s="97">
        <v>82.737221311475423</v>
      </c>
      <c r="M41" s="97">
        <v>82.737221311475423</v>
      </c>
      <c r="N41" s="98">
        <v>320.35168750000003</v>
      </c>
      <c r="O41" s="98">
        <v>329.15025000000003</v>
      </c>
      <c r="P41" s="98">
        <v>278.51175000000001</v>
      </c>
      <c r="Q41" s="98">
        <v>278.51175000000001</v>
      </c>
      <c r="R41" s="98">
        <v>278.51175000000001</v>
      </c>
    </row>
    <row r="42" spans="2:18">
      <c r="B42" s="73" t="s">
        <v>74</v>
      </c>
      <c r="C42" s="81">
        <v>-22.937000000000001</v>
      </c>
      <c r="D42" s="81">
        <v>-11</v>
      </c>
      <c r="E42" s="82">
        <v>-3</v>
      </c>
      <c r="F42" s="83">
        <v>-2</v>
      </c>
      <c r="G42" s="83">
        <v>-4</v>
      </c>
      <c r="H42" s="83">
        <v>-6</v>
      </c>
      <c r="I42" s="84">
        <v>-15</v>
      </c>
      <c r="J42">
        <v>0</v>
      </c>
      <c r="K42">
        <v>0</v>
      </c>
      <c r="L42">
        <v>0</v>
      </c>
      <c r="M42">
        <v>0</v>
      </c>
      <c r="N42" s="80">
        <f>SUM(J42:M42)</f>
        <v>0</v>
      </c>
      <c r="O42" s="80">
        <f t="shared" ref="O42:R42" si="31">SUM(K42:N42)</f>
        <v>0</v>
      </c>
      <c r="P42" s="80">
        <f t="shared" si="31"/>
        <v>0</v>
      </c>
      <c r="Q42" s="80">
        <f t="shared" si="31"/>
        <v>0</v>
      </c>
      <c r="R42" s="80">
        <f t="shared" si="31"/>
        <v>0</v>
      </c>
    </row>
    <row r="43" spans="2:18">
      <c r="B43" s="73" t="s">
        <v>75</v>
      </c>
      <c r="C43" s="80">
        <v>24.377000000000002</v>
      </c>
      <c r="D43" s="80">
        <v>-146</v>
      </c>
      <c r="E43" s="83">
        <v>-11</v>
      </c>
      <c r="F43" s="83">
        <v>-16</v>
      </c>
      <c r="G43" s="83">
        <v>19</v>
      </c>
      <c r="H43" s="83">
        <v>9</v>
      </c>
      <c r="I43" s="85">
        <v>1</v>
      </c>
      <c r="J43">
        <v>0</v>
      </c>
      <c r="K43">
        <v>0</v>
      </c>
      <c r="L43">
        <v>0</v>
      </c>
      <c r="M43">
        <v>0</v>
      </c>
      <c r="N43" s="80">
        <f>SUM(J43:M43)</f>
        <v>0</v>
      </c>
      <c r="O43" s="80">
        <f t="shared" ref="O43:R43" si="32">SUM(K43:N43)</f>
        <v>0</v>
      </c>
      <c r="P43" s="80">
        <f t="shared" si="32"/>
        <v>0</v>
      </c>
      <c r="Q43" s="80">
        <f t="shared" si="32"/>
        <v>0</v>
      </c>
      <c r="R43" s="80">
        <f t="shared" si="32"/>
        <v>0</v>
      </c>
    </row>
    <row r="44" spans="2:18">
      <c r="B44" s="74" t="s">
        <v>76</v>
      </c>
      <c r="C44" s="75">
        <v>1422.0670000000014</v>
      </c>
      <c r="D44" s="75">
        <v>1529</v>
      </c>
      <c r="E44" s="78">
        <v>364</v>
      </c>
      <c r="F44" s="78">
        <v>391</v>
      </c>
      <c r="G44" s="78">
        <v>267</v>
      </c>
      <c r="H44" s="78">
        <v>228</v>
      </c>
      <c r="I44" s="89">
        <v>1250</v>
      </c>
      <c r="J44" s="78">
        <f>J36-J37-J39-J41+J42-J43</f>
        <v>347.8449609281684</v>
      </c>
      <c r="K44" s="78">
        <f t="shared" ref="K44:M44" si="33">K36-K37-K39-K41+K42-K43</f>
        <v>354.91651156698794</v>
      </c>
      <c r="L44" s="78">
        <f t="shared" si="33"/>
        <v>292.61958222803906</v>
      </c>
      <c r="M44" s="78">
        <f t="shared" si="33"/>
        <v>326.12259425765728</v>
      </c>
      <c r="N44" s="75">
        <f>SUM(J44:M44)</f>
        <v>1321.5036489808526</v>
      </c>
      <c r="O44" s="75">
        <f t="shared" ref="O44" si="34">O36-O37-O39-O41+O42-O43</f>
        <v>1440.0333739611351</v>
      </c>
      <c r="P44" s="75">
        <f t="shared" ref="P44" si="35">P36-P37-P39-P41+P42-P43</f>
        <v>1627.2233932015802</v>
      </c>
      <c r="Q44" s="75">
        <f t="shared" ref="Q44" si="36">Q36-Q37-Q39-Q41+Q42-Q43</f>
        <v>1773.6811489987913</v>
      </c>
      <c r="R44" s="75">
        <f>R36-R37-R39-R41+R42-R43</f>
        <v>1835.7005443326366</v>
      </c>
    </row>
    <row r="45" spans="2:18">
      <c r="B45" s="73" t="s">
        <v>77</v>
      </c>
      <c r="C45" s="80">
        <v>330.59100000000001</v>
      </c>
      <c r="D45" s="80">
        <v>385</v>
      </c>
      <c r="E45" s="83">
        <v>94</v>
      </c>
      <c r="F45" s="83">
        <v>109</v>
      </c>
      <c r="G45" s="83">
        <v>60</v>
      </c>
      <c r="H45" s="83">
        <v>43</v>
      </c>
      <c r="I45" s="85">
        <v>306</v>
      </c>
      <c r="J45" s="44">
        <f>J44*$Q$11</f>
        <v>93.222449528749138</v>
      </c>
      <c r="K45" s="44">
        <f t="shared" ref="K45:M45" si="37">K44*$Q$11</f>
        <v>95.117625099952775</v>
      </c>
      <c r="L45" s="44">
        <f t="shared" si="37"/>
        <v>78.422048037114479</v>
      </c>
      <c r="M45" s="44">
        <f t="shared" si="37"/>
        <v>87.400855261052158</v>
      </c>
      <c r="N45" s="80">
        <f>SUM(J45:M45)</f>
        <v>354.16297792686851</v>
      </c>
      <c r="O45" s="80">
        <f t="shared" ref="O45" si="38">O44*$Q$11</f>
        <v>385.92894422158423</v>
      </c>
      <c r="P45" s="80">
        <f t="shared" ref="P45" si="39">P44*$Q$11</f>
        <v>436.09586937802351</v>
      </c>
      <c r="Q45" s="80">
        <f t="shared" ref="Q45" si="40">Q44*$Q$11</f>
        <v>475.34654793167607</v>
      </c>
      <c r="R45" s="80">
        <f t="shared" ref="R45" si="41">R44*$Q$11</f>
        <v>491.96774588114664</v>
      </c>
    </row>
    <row r="46" spans="2:18">
      <c r="B46" s="73" t="s">
        <v>78</v>
      </c>
      <c r="C46" s="80">
        <v>-0.64800000000000002</v>
      </c>
      <c r="D46" s="80">
        <v>-6</v>
      </c>
      <c r="E46" s="83">
        <v>0</v>
      </c>
      <c r="F46" s="83">
        <v>0</v>
      </c>
      <c r="G46" s="83">
        <v>-1</v>
      </c>
      <c r="H46" s="83">
        <v>7</v>
      </c>
      <c r="I46" s="84">
        <v>6</v>
      </c>
      <c r="J46">
        <v>0</v>
      </c>
      <c r="K46">
        <v>0</v>
      </c>
      <c r="L46">
        <v>0</v>
      </c>
      <c r="M46">
        <v>0</v>
      </c>
      <c r="N46" s="80">
        <f t="shared" ref="N46:N47" si="42">SUM(J46:M46)</f>
        <v>0</v>
      </c>
      <c r="O46" s="80">
        <f t="shared" ref="O46:O48" si="43">SUM(K46:N46)</f>
        <v>0</v>
      </c>
      <c r="P46" s="80">
        <f t="shared" ref="P46:P48" si="44">SUM(L46:O46)</f>
        <v>0</v>
      </c>
      <c r="Q46" s="80">
        <f t="shared" ref="Q46:Q48" si="45">SUM(M46:P46)</f>
        <v>0</v>
      </c>
      <c r="R46" s="80">
        <f t="shared" ref="R46:R48" si="46">SUM(N46:Q46)</f>
        <v>0</v>
      </c>
    </row>
    <row r="47" spans="2:18">
      <c r="B47" s="73" t="s">
        <v>79</v>
      </c>
      <c r="C47" s="80">
        <v>1.2509999999999999</v>
      </c>
      <c r="D47" s="80">
        <v>1</v>
      </c>
      <c r="E47" s="83">
        <v>0</v>
      </c>
      <c r="F47" s="83">
        <v>1</v>
      </c>
      <c r="G47" s="83">
        <v>0</v>
      </c>
      <c r="H47" s="83">
        <v>1</v>
      </c>
      <c r="I47" s="85">
        <v>2</v>
      </c>
      <c r="J47">
        <v>0</v>
      </c>
      <c r="K47">
        <v>0</v>
      </c>
      <c r="L47">
        <v>0</v>
      </c>
      <c r="M47">
        <v>0</v>
      </c>
      <c r="N47" s="80">
        <f t="shared" si="42"/>
        <v>0</v>
      </c>
      <c r="O47" s="80">
        <f t="shared" si="43"/>
        <v>0</v>
      </c>
      <c r="P47" s="80">
        <f t="shared" si="44"/>
        <v>0</v>
      </c>
      <c r="Q47" s="80">
        <f t="shared" si="45"/>
        <v>0</v>
      </c>
      <c r="R47" s="80">
        <f t="shared" si="46"/>
        <v>0</v>
      </c>
    </row>
    <row r="48" spans="2:18" s="10" customFormat="1">
      <c r="B48" s="73" t="s">
        <v>80</v>
      </c>
      <c r="C48" s="80">
        <v>0</v>
      </c>
      <c r="D48" s="80">
        <v>0</v>
      </c>
      <c r="E48" s="83">
        <v>0</v>
      </c>
      <c r="F48" s="83">
        <v>0</v>
      </c>
      <c r="G48" s="83">
        <v>0</v>
      </c>
      <c r="H48" s="83">
        <v>0</v>
      </c>
      <c r="I48" s="85">
        <v>0</v>
      </c>
      <c r="J48">
        <v>0</v>
      </c>
      <c r="K48">
        <v>0</v>
      </c>
      <c r="L48">
        <v>0</v>
      </c>
      <c r="M48">
        <v>0</v>
      </c>
      <c r="N48" s="80">
        <f t="shared" ref="N48" si="47">SUM(J48:M48)</f>
        <v>0</v>
      </c>
      <c r="O48" s="80">
        <f t="shared" si="43"/>
        <v>0</v>
      </c>
      <c r="P48" s="80">
        <f t="shared" si="44"/>
        <v>0</v>
      </c>
      <c r="Q48" s="80">
        <f t="shared" si="45"/>
        <v>0</v>
      </c>
      <c r="R48" s="80">
        <f t="shared" si="46"/>
        <v>0</v>
      </c>
    </row>
    <row r="49" spans="1:18">
      <c r="B49" s="74" t="s">
        <v>81</v>
      </c>
      <c r="C49" s="75">
        <v>1090.8730000000014</v>
      </c>
      <c r="D49" s="75">
        <v>1149</v>
      </c>
      <c r="E49" s="78">
        <v>270</v>
      </c>
      <c r="F49" s="78">
        <v>281</v>
      </c>
      <c r="G49" s="78">
        <v>208</v>
      </c>
      <c r="H49" s="78">
        <v>177</v>
      </c>
      <c r="I49" s="89">
        <v>936</v>
      </c>
      <c r="J49" s="39">
        <f>J44-J45-J46+J47+J48</f>
        <v>254.62251139941927</v>
      </c>
      <c r="K49" s="39">
        <f t="shared" ref="K49:M49" si="48">K44-K45-K46+K47+K48</f>
        <v>259.79888646703517</v>
      </c>
      <c r="L49" s="39">
        <f t="shared" si="48"/>
        <v>214.19753419092459</v>
      </c>
      <c r="M49" s="39">
        <f t="shared" si="48"/>
        <v>238.72173899660513</v>
      </c>
      <c r="N49" s="75">
        <f t="shared" ref="N49" si="49">N44-N45-N46+N47+N48</f>
        <v>967.34067105398412</v>
      </c>
      <c r="O49" s="75">
        <f t="shared" ref="O49" si="50">O44-O45-O46+O47+O48</f>
        <v>1054.1044297395508</v>
      </c>
      <c r="P49" s="75">
        <f t="shared" ref="P49" si="51">P44-P45-P46+P47+P48</f>
        <v>1191.1275238235567</v>
      </c>
      <c r="Q49" s="75">
        <f t="shared" ref="Q49" si="52">Q44-Q45-Q46+Q47+Q48</f>
        <v>1298.3346010671153</v>
      </c>
      <c r="R49" s="75">
        <f t="shared" ref="R49" si="53">R44-R45-R46+R47+R48</f>
        <v>1343.73279845149</v>
      </c>
    </row>
    <row r="50" spans="1:18" s="1" customFormat="1">
      <c r="A50" s="10"/>
      <c r="B50" s="74" t="s">
        <v>82</v>
      </c>
      <c r="C50" s="99">
        <v>3.6640658063562701</v>
      </c>
      <c r="D50" s="99">
        <v>4.1330935251798557</v>
      </c>
      <c r="E50" s="100">
        <v>1.0063361908311592</v>
      </c>
      <c r="F50" s="100">
        <v>1.0477255779269203</v>
      </c>
      <c r="G50" s="100">
        <v>0.77496274217585703</v>
      </c>
      <c r="H50" s="100">
        <v>0.66020141738157401</v>
      </c>
      <c r="I50" s="101">
        <v>3.488632128214685</v>
      </c>
      <c r="J50" s="100">
        <f>J49/J51</f>
        <v>0.94902166007983324</v>
      </c>
      <c r="K50" s="100">
        <f t="shared" ref="K50:R50" si="54">K49/K51</f>
        <v>0.96831489551634431</v>
      </c>
      <c r="L50" s="100">
        <f t="shared" si="54"/>
        <v>0.79835085423378527</v>
      </c>
      <c r="M50" s="100">
        <f t="shared" si="54"/>
        <v>0.88975676107568069</v>
      </c>
      <c r="N50" s="99">
        <f t="shared" si="54"/>
        <v>3.6054441709056433</v>
      </c>
      <c r="O50" s="99">
        <f t="shared" si="54"/>
        <v>3.9288275428235213</v>
      </c>
      <c r="P50" s="99">
        <f t="shared" si="54"/>
        <v>4.439536055995366</v>
      </c>
      <c r="Q50" s="99">
        <f t="shared" si="54"/>
        <v>4.8391151735636049</v>
      </c>
      <c r="R50" s="99">
        <f t="shared" si="54"/>
        <v>5.0083220218095041</v>
      </c>
    </row>
    <row r="51" spans="1:18">
      <c r="B51" s="73" t="s">
        <v>83</v>
      </c>
      <c r="C51" s="102">
        <v>297.72199999999998</v>
      </c>
      <c r="D51" s="103">
        <v>278</v>
      </c>
      <c r="E51" s="104">
        <v>268.3</v>
      </c>
      <c r="F51" s="104">
        <v>268.2</v>
      </c>
      <c r="G51" s="104">
        <v>268.39999999999998</v>
      </c>
      <c r="H51" s="104">
        <v>268.10000000000002</v>
      </c>
      <c r="I51" s="105">
        <v>268.3</v>
      </c>
      <c r="J51" s="106">
        <f>$I$51</f>
        <v>268.3</v>
      </c>
      <c r="K51" s="106">
        <f t="shared" ref="K51:R51" si="55">$I$51</f>
        <v>268.3</v>
      </c>
      <c r="L51" s="106">
        <f t="shared" si="55"/>
        <v>268.3</v>
      </c>
      <c r="M51" s="106">
        <f t="shared" si="55"/>
        <v>268.3</v>
      </c>
      <c r="N51" s="107">
        <f t="shared" si="55"/>
        <v>268.3</v>
      </c>
      <c r="O51" s="107">
        <f t="shared" si="55"/>
        <v>268.3</v>
      </c>
      <c r="P51" s="107">
        <f t="shared" si="55"/>
        <v>268.3</v>
      </c>
      <c r="Q51" s="107">
        <f t="shared" si="55"/>
        <v>268.3</v>
      </c>
      <c r="R51" s="107">
        <f t="shared" si="55"/>
        <v>268.3</v>
      </c>
    </row>
    <row r="52" spans="1:18">
      <c r="B52" s="2"/>
      <c r="C52" s="30"/>
      <c r="D52" s="24"/>
      <c r="E52" s="4"/>
      <c r="F52" s="4"/>
      <c r="G52" s="109"/>
      <c r="H52" s="4"/>
      <c r="I52" s="108"/>
      <c r="N52" s="23"/>
      <c r="O52" s="23"/>
      <c r="P52" s="23"/>
      <c r="Q52" s="23"/>
      <c r="R52" s="23"/>
    </row>
    <row r="53" spans="1:18">
      <c r="B53" s="90" t="s">
        <v>84</v>
      </c>
      <c r="C53" s="91"/>
      <c r="D53" s="91"/>
      <c r="E53" s="91"/>
      <c r="F53" s="91"/>
      <c r="G53" s="91"/>
      <c r="H53" s="91"/>
      <c r="I53" s="92"/>
      <c r="J53" s="91"/>
      <c r="K53" s="91"/>
      <c r="L53" s="91"/>
      <c r="M53" s="91"/>
      <c r="N53" s="91"/>
      <c r="O53" s="91"/>
      <c r="P53" s="91"/>
      <c r="Q53" s="91"/>
      <c r="R53" s="91"/>
    </row>
    <row r="54" spans="1:18">
      <c r="B54" s="74" t="s">
        <v>85</v>
      </c>
      <c r="C54" s="75">
        <v>1785.439000000001</v>
      </c>
      <c r="D54" s="75">
        <v>1719</v>
      </c>
      <c r="E54" s="87">
        <v>456</v>
      </c>
      <c r="F54" s="87">
        <v>485</v>
      </c>
      <c r="G54" s="87">
        <v>422</v>
      </c>
      <c r="H54" s="87">
        <v>396</v>
      </c>
      <c r="I54" s="88">
        <v>1759</v>
      </c>
      <c r="J54" s="68">
        <f>J36</f>
        <v>509.19379669846182</v>
      </c>
      <c r="K54" s="68">
        <f t="shared" ref="K54:R54" si="56">K36</f>
        <v>527.77084412108877</v>
      </c>
      <c r="L54" s="68">
        <f t="shared" si="56"/>
        <v>467.82513457558423</v>
      </c>
      <c r="M54" s="68">
        <f t="shared" si="56"/>
        <v>500.5400201507274</v>
      </c>
      <c r="N54" s="75">
        <f>N36</f>
        <v>2005.329795545862</v>
      </c>
      <c r="O54" s="75">
        <f t="shared" si="56"/>
        <v>2153.3627237580959</v>
      </c>
      <c r="P54" s="75">
        <f t="shared" si="56"/>
        <v>2311.8493725265816</v>
      </c>
      <c r="Q54" s="75">
        <f t="shared" si="56"/>
        <v>2481.5467940339986</v>
      </c>
      <c r="R54" s="75">
        <f t="shared" si="56"/>
        <v>2548.6589665170086</v>
      </c>
    </row>
    <row r="55" spans="1:18">
      <c r="B55" s="74" t="s">
        <v>86</v>
      </c>
      <c r="C55" s="75">
        <v>1493.7990000000013</v>
      </c>
      <c r="D55" s="75">
        <v>1442</v>
      </c>
      <c r="E55" s="87">
        <v>383</v>
      </c>
      <c r="F55" s="87">
        <v>415</v>
      </c>
      <c r="G55" s="87">
        <v>335</v>
      </c>
      <c r="H55" s="87">
        <v>289</v>
      </c>
      <c r="I55" s="88">
        <v>1422</v>
      </c>
      <c r="J55" s="68">
        <f>J54-J39</f>
        <v>432.32043455236874</v>
      </c>
      <c r="K55" s="68">
        <f t="shared" ref="K55:M55" si="57">K54-K39</f>
        <v>448.6077750336392</v>
      </c>
      <c r="L55" s="68">
        <f t="shared" si="57"/>
        <v>385.86382509090322</v>
      </c>
      <c r="M55" s="68">
        <f t="shared" si="57"/>
        <v>420.10159030581383</v>
      </c>
      <c r="N55" s="75">
        <f>N54-N39</f>
        <v>1686.8936249827248</v>
      </c>
      <c r="O55" s="75">
        <f t="shared" ref="O55" si="58">O54-O39</f>
        <v>1817.546627302137</v>
      </c>
      <c r="P55" s="75">
        <f t="shared" ref="P55" si="59">P54-P39</f>
        <v>1957.6576445497346</v>
      </c>
      <c r="Q55" s="75">
        <f t="shared" ref="Q55" si="60">Q54-Q39</f>
        <v>2107.9266843785554</v>
      </c>
      <c r="R55" s="75">
        <f>R54-R39</f>
        <v>2171.4533716266737</v>
      </c>
    </row>
    <row r="56" spans="1:18">
      <c r="B56" s="74" t="s">
        <v>87</v>
      </c>
      <c r="C56" s="75">
        <v>1180.3150000000014</v>
      </c>
      <c r="D56" s="75">
        <v>1069</v>
      </c>
      <c r="E56" s="87">
        <v>279</v>
      </c>
      <c r="F56" s="87">
        <v>291</v>
      </c>
      <c r="G56" s="87">
        <v>231</v>
      </c>
      <c r="H56" s="87">
        <v>226</v>
      </c>
      <c r="I56" s="88">
        <v>1027</v>
      </c>
      <c r="J56" s="39">
        <f>(J55-J41)*(1-$Q$11)</f>
        <v>262.99376034233393</v>
      </c>
      <c r="K56" s="39">
        <f t="shared" ref="K56:M56" si="61">(K55-K41)*(1-$Q$11)</f>
        <v>268.47554582462391</v>
      </c>
      <c r="L56" s="39">
        <f t="shared" si="61"/>
        <v>221.88867396654115</v>
      </c>
      <c r="M56" s="39">
        <f t="shared" si="61"/>
        <v>246.95071810385571</v>
      </c>
      <c r="N56" s="75">
        <f>(N55-N41)*(1-$Q$11)</f>
        <v>1000.3086982373545</v>
      </c>
      <c r="O56" s="75">
        <f t="shared" ref="O56" si="62">(O55-O41)*(1-$Q$11)</f>
        <v>1089.5061481851642</v>
      </c>
      <c r="P56" s="75">
        <f t="shared" ref="P56" si="63">(P55-P41)*(1-$Q$11)</f>
        <v>1229.1347948104058</v>
      </c>
      <c r="Q56" s="75">
        <f t="shared" ref="Q56" si="64">(Q55-Q41)*(1-$Q$11)</f>
        <v>1339.1317319651025</v>
      </c>
      <c r="R56" s="75">
        <f t="shared" ref="R56" si="65">(R55-R41)*(1-$Q$11)</f>
        <v>1385.6332670307252</v>
      </c>
    </row>
    <row r="57" spans="1:18">
      <c r="B57" s="74" t="s">
        <v>88</v>
      </c>
      <c r="C57" s="99">
        <v>3.9644870046553549</v>
      </c>
      <c r="D57" s="99">
        <v>3.8453237410071943</v>
      </c>
      <c r="E57" s="110">
        <v>1.0398807305255311</v>
      </c>
      <c r="F57" s="110">
        <v>1.0850111856823266</v>
      </c>
      <c r="G57" s="110">
        <v>0.8606557377049181</v>
      </c>
      <c r="H57" s="110">
        <v>0.84296904140246165</v>
      </c>
      <c r="I57" s="111">
        <v>3.8278046962355572</v>
      </c>
      <c r="J57" s="112">
        <f>J56/J51</f>
        <v>0.98022273701950768</v>
      </c>
      <c r="K57" s="112">
        <f t="shared" ref="K57:R57" si="66">K56/K51</f>
        <v>1.000654289320253</v>
      </c>
      <c r="L57" s="112">
        <f t="shared" si="66"/>
        <v>0.8270170479558</v>
      </c>
      <c r="M57" s="112">
        <f>M56/M51</f>
        <v>0.92042757399871677</v>
      </c>
      <c r="N57" s="99">
        <f t="shared" si="66"/>
        <v>3.7283216482942767</v>
      </c>
      <c r="O57" s="99">
        <f t="shared" si="66"/>
        <v>4.0607758038955053</v>
      </c>
      <c r="P57" s="99">
        <f t="shared" si="66"/>
        <v>4.5811956571390446</v>
      </c>
      <c r="Q57" s="99">
        <f t="shared" si="66"/>
        <v>4.9911730598773856</v>
      </c>
      <c r="R57" s="99">
        <f t="shared" si="66"/>
        <v>5.1644922364171642</v>
      </c>
    </row>
    <row r="58" spans="1:18">
      <c r="B58" s="9"/>
      <c r="C58" s="24"/>
      <c r="D58" s="24"/>
      <c r="E58" s="40"/>
      <c r="F58" s="41"/>
      <c r="G58" s="41"/>
      <c r="H58" s="41"/>
      <c r="I58" s="26"/>
      <c r="J58" s="41"/>
      <c r="K58" s="41"/>
      <c r="L58" s="41"/>
      <c r="M58" s="41"/>
      <c r="N58" s="75"/>
      <c r="O58" s="75"/>
      <c r="P58" s="75"/>
      <c r="Q58" s="75"/>
      <c r="R58" s="75"/>
    </row>
    <row r="59" spans="1:18">
      <c r="B59" s="90" t="s">
        <v>89</v>
      </c>
      <c r="C59" s="91"/>
      <c r="D59" s="91"/>
      <c r="E59" s="91"/>
      <c r="F59" s="91"/>
      <c r="G59" s="91"/>
      <c r="H59" s="91"/>
      <c r="I59" s="92"/>
      <c r="J59" s="91"/>
      <c r="K59" s="91"/>
      <c r="L59" s="91"/>
      <c r="M59" s="91"/>
      <c r="N59" s="91"/>
      <c r="O59" s="91"/>
      <c r="P59" s="91"/>
      <c r="Q59" s="91"/>
      <c r="R59" s="91"/>
    </row>
    <row r="60" spans="1:18">
      <c r="B60" s="74" t="s">
        <v>90</v>
      </c>
      <c r="C60" s="86">
        <v>1369.7660000000003</v>
      </c>
      <c r="D60" s="86">
        <v>1285</v>
      </c>
      <c r="E60" s="87">
        <v>333</v>
      </c>
      <c r="F60" s="78">
        <v>365</v>
      </c>
      <c r="G60" s="78">
        <v>283</v>
      </c>
      <c r="H60" s="78">
        <v>298</v>
      </c>
      <c r="I60" s="88">
        <v>1279</v>
      </c>
      <c r="J60" s="39">
        <f t="shared" ref="J60:M60" si="67">J49+J39</f>
        <v>331.49587354551232</v>
      </c>
      <c r="K60" s="39">
        <f t="shared" si="67"/>
        <v>338.96195555448475</v>
      </c>
      <c r="L60" s="39">
        <f t="shared" si="67"/>
        <v>296.15884367560562</v>
      </c>
      <c r="M60" s="39">
        <f t="shared" si="67"/>
        <v>319.16016884151867</v>
      </c>
      <c r="N60" s="47">
        <f>N49+N39</f>
        <v>1285.7768416171214</v>
      </c>
      <c r="O60" s="47">
        <f>O49+O39</f>
        <v>1389.9205261955099</v>
      </c>
      <c r="P60" s="47">
        <f t="shared" ref="O60:R60" si="68">P49+P39</f>
        <v>1545.3192518004037</v>
      </c>
      <c r="Q60" s="47">
        <f t="shared" si="68"/>
        <v>1671.9547107225587</v>
      </c>
      <c r="R60" s="47">
        <f t="shared" si="68"/>
        <v>1720.9383933418248</v>
      </c>
    </row>
    <row r="61" spans="1:18">
      <c r="B61" s="73" t="s">
        <v>91</v>
      </c>
      <c r="C61" s="93">
        <v>-2.7190000000000332</v>
      </c>
      <c r="D61" s="93">
        <v>-35</v>
      </c>
      <c r="E61" s="94">
        <v>-110</v>
      </c>
      <c r="F61" s="94">
        <v>115</v>
      </c>
      <c r="G61" s="94">
        <v>158</v>
      </c>
      <c r="H61" s="94">
        <v>-86</v>
      </c>
      <c r="I61" s="95">
        <v>77</v>
      </c>
      <c r="J61" s="113">
        <v>-344.59805404454892</v>
      </c>
      <c r="K61" s="113">
        <v>57.63339122975276</v>
      </c>
      <c r="L61" s="113">
        <v>-35.445171473658945</v>
      </c>
      <c r="M61" s="113">
        <v>299.37290566827807</v>
      </c>
      <c r="N61" s="114">
        <v>-23.036928620177036</v>
      </c>
      <c r="O61" s="114">
        <v>-44.338723907388157</v>
      </c>
      <c r="P61" s="114">
        <v>-59.317029679699033</v>
      </c>
      <c r="Q61" s="114">
        <v>-60.704760282127097</v>
      </c>
      <c r="R61" s="114">
        <v>-62.13873098409556</v>
      </c>
    </row>
    <row r="62" spans="1:18">
      <c r="B62" s="74" t="s">
        <v>92</v>
      </c>
      <c r="C62" s="86">
        <v>1367.0470000000003</v>
      </c>
      <c r="D62" s="86">
        <v>1250</v>
      </c>
      <c r="E62" s="87">
        <v>223</v>
      </c>
      <c r="F62" s="78">
        <v>480</v>
      </c>
      <c r="G62" s="78">
        <v>441</v>
      </c>
      <c r="H62" s="78">
        <v>212</v>
      </c>
      <c r="I62" s="88">
        <v>1356</v>
      </c>
      <c r="J62" s="39">
        <f>J60-J61</f>
        <v>676.09392759006118</v>
      </c>
      <c r="K62" s="39">
        <f t="shared" ref="K62:M62" si="69">K60-K61</f>
        <v>281.32856432473199</v>
      </c>
      <c r="L62" s="39">
        <f t="shared" si="69"/>
        <v>331.60401514926457</v>
      </c>
      <c r="M62" s="39">
        <f t="shared" si="69"/>
        <v>19.787263173240603</v>
      </c>
      <c r="N62" s="47">
        <f t="shared" ref="N62" si="70">N60-N61</f>
        <v>1308.8137702372983</v>
      </c>
      <c r="O62" s="47">
        <f t="shared" ref="O62" si="71">O60-O61</f>
        <v>1434.259250102898</v>
      </c>
      <c r="P62" s="47">
        <f t="shared" ref="P62" si="72">P60-P61</f>
        <v>1604.6362814801028</v>
      </c>
      <c r="Q62" s="47">
        <f t="shared" ref="Q62" si="73">Q60-Q61</f>
        <v>1732.6594710046859</v>
      </c>
      <c r="R62" s="47">
        <f t="shared" ref="R62" si="74">R60-R61</f>
        <v>1783.0771243259205</v>
      </c>
    </row>
    <row r="63" spans="1:18">
      <c r="B63" s="73" t="s">
        <v>93</v>
      </c>
      <c r="C63" s="93">
        <v>-293.46600000000001</v>
      </c>
      <c r="D63" s="93">
        <v>-222</v>
      </c>
      <c r="E63" s="83">
        <v>-70</v>
      </c>
      <c r="F63" s="83">
        <v>-66</v>
      </c>
      <c r="G63" s="83">
        <v>-97</v>
      </c>
      <c r="H63" s="83">
        <v>-125</v>
      </c>
      <c r="I63" s="95">
        <v>-358</v>
      </c>
      <c r="J63" s="113">
        <v>-87.5</v>
      </c>
      <c r="K63" s="113">
        <v>-87.5</v>
      </c>
      <c r="L63" s="113">
        <v>-87.5</v>
      </c>
      <c r="M63" s="113">
        <v>-87.5</v>
      </c>
      <c r="N63" s="114">
        <v>-350</v>
      </c>
      <c r="O63" s="114">
        <v>-300</v>
      </c>
      <c r="P63" s="114">
        <v>-300</v>
      </c>
      <c r="Q63" s="114">
        <v>-300</v>
      </c>
      <c r="R63" s="114">
        <v>-300</v>
      </c>
    </row>
    <row r="64" spans="1:18">
      <c r="B64" s="74" t="s">
        <v>89</v>
      </c>
      <c r="C64" s="75">
        <v>1073.5810000000001</v>
      </c>
      <c r="D64" s="86">
        <v>1028</v>
      </c>
      <c r="E64" s="87">
        <v>153</v>
      </c>
      <c r="F64" s="78">
        <v>414</v>
      </c>
      <c r="G64" s="78">
        <v>344</v>
      </c>
      <c r="H64" s="78">
        <v>87</v>
      </c>
      <c r="I64" s="88">
        <v>998</v>
      </c>
      <c r="J64" s="39">
        <f>J62+J63</f>
        <v>588.59392759006118</v>
      </c>
      <c r="K64" s="39">
        <f t="shared" ref="K64:M64" si="75">K62+K63</f>
        <v>193.82856432473199</v>
      </c>
      <c r="L64" s="39">
        <f t="shared" si="75"/>
        <v>244.10401514926457</v>
      </c>
      <c r="M64" s="39">
        <f t="shared" si="75"/>
        <v>-67.712736826759397</v>
      </c>
      <c r="N64" s="47">
        <f t="shared" ref="N64" si="76">N62+N63</f>
        <v>958.81377023729829</v>
      </c>
      <c r="O64" s="47">
        <f t="shared" ref="O64" si="77">O62+O63</f>
        <v>1134.259250102898</v>
      </c>
      <c r="P64" s="47">
        <f t="shared" ref="P64" si="78">P62+P63</f>
        <v>1304.6362814801028</v>
      </c>
      <c r="Q64" s="47">
        <f t="shared" ref="Q64" si="79">Q62+Q63</f>
        <v>1432.6594710046859</v>
      </c>
      <c r="R64" s="47">
        <f>R62+R63</f>
        <v>1483.0771243259205</v>
      </c>
    </row>
    <row r="65" spans="2:18">
      <c r="B65" s="96" t="s">
        <v>60</v>
      </c>
      <c r="C65" s="115"/>
      <c r="D65" s="55">
        <f>D64/C64-1</f>
        <v>-4.2456973437495771E-2</v>
      </c>
      <c r="E65" s="116"/>
      <c r="F65" s="116"/>
      <c r="G65" s="116"/>
      <c r="H65" s="116"/>
      <c r="I65" s="56">
        <f>I64/D64-1</f>
        <v>-2.9182879377431914E-2</v>
      </c>
      <c r="J65" s="116"/>
      <c r="K65" s="116"/>
      <c r="L65" s="116"/>
      <c r="M65" s="116"/>
      <c r="N65" s="55">
        <f>N64/I64-1</f>
        <v>-3.9264759281264272E-2</v>
      </c>
      <c r="O65" s="55">
        <f>O64/N64-1</f>
        <v>0.18298181076621223</v>
      </c>
      <c r="P65" s="55">
        <f t="shared" ref="P65:R65" si="80">P64/O64-1</f>
        <v>0.1502099554063574</v>
      </c>
      <c r="Q65" s="55">
        <f t="shared" si="80"/>
        <v>9.8129410734570044E-2</v>
      </c>
      <c r="R65" s="55">
        <f t="shared" si="80"/>
        <v>3.5191651848626826E-2</v>
      </c>
    </row>
    <row r="66" spans="2:18">
      <c r="J66" s="116"/>
    </row>
    <row r="67" spans="2:18">
      <c r="B67" s="122" t="s">
        <v>94</v>
      </c>
      <c r="C67" s="91"/>
      <c r="D67" s="91"/>
      <c r="E67" s="91"/>
      <c r="F67" s="91"/>
      <c r="G67" s="91"/>
      <c r="H67" s="91"/>
      <c r="I67" s="92"/>
      <c r="J67" s="91"/>
      <c r="K67" s="91"/>
      <c r="L67" s="91"/>
      <c r="M67" s="91"/>
      <c r="N67" s="91"/>
      <c r="O67" s="91"/>
      <c r="P67" s="91"/>
      <c r="Q67" s="91"/>
      <c r="R67" s="91"/>
    </row>
    <row r="68" spans="2:18">
      <c r="B68" s="123" t="s">
        <v>95</v>
      </c>
      <c r="C68" s="7">
        <f>E6+Q12*5%</f>
        <v>0.11080000000000001</v>
      </c>
    </row>
    <row r="69" spans="2:18">
      <c r="B69" s="123" t="s">
        <v>96</v>
      </c>
      <c r="C69" s="7">
        <f>Q8</f>
        <v>6.5000000000000002E-2</v>
      </c>
    </row>
    <row r="70" spans="2:18">
      <c r="B70" s="123" t="s">
        <v>97</v>
      </c>
      <c r="C70" s="7">
        <f>1-1/(Q9+1)</f>
        <v>0.66666666666666674</v>
      </c>
      <c r="E70" s="1" t="s">
        <v>98</v>
      </c>
    </row>
    <row r="71" spans="2:18">
      <c r="B71" s="123" t="s">
        <v>99</v>
      </c>
      <c r="C71" s="7">
        <f>(1-C70)*C68+C70*C69*(1-Q11)</f>
        <v>6.865333333333333E-2</v>
      </c>
    </row>
    <row r="72" spans="2:18">
      <c r="B72" s="123" t="s">
        <v>100</v>
      </c>
      <c r="C72" s="7">
        <v>5.0000000000000001E-3</v>
      </c>
    </row>
    <row r="73" spans="2:18">
      <c r="B73" s="123"/>
      <c r="C73" s="33"/>
    </row>
    <row r="74" spans="2:18">
      <c r="B74" s="124"/>
      <c r="C74" s="121">
        <v>2024</v>
      </c>
      <c r="D74" s="121">
        <f>C74+1</f>
        <v>2025</v>
      </c>
      <c r="E74" s="121">
        <f t="shared" ref="E74:G74" si="81">D74+1</f>
        <v>2026</v>
      </c>
      <c r="F74" s="121">
        <f t="shared" si="81"/>
        <v>2027</v>
      </c>
      <c r="G74" s="121">
        <f t="shared" si="81"/>
        <v>2028</v>
      </c>
      <c r="H74" s="121"/>
      <c r="I74" s="121"/>
      <c r="J74" s="121"/>
      <c r="K74" s="121"/>
      <c r="L74" s="121"/>
      <c r="M74" s="121"/>
      <c r="N74" s="121"/>
      <c r="O74" s="20"/>
      <c r="P74" s="20"/>
      <c r="Q74" s="20"/>
      <c r="R74" s="20"/>
    </row>
    <row r="75" spans="2:18">
      <c r="B75" s="123" t="s">
        <v>89</v>
      </c>
      <c r="C75" s="83">
        <f>N64</f>
        <v>958.81377023729829</v>
      </c>
      <c r="D75" s="83">
        <f t="shared" ref="D75:G75" si="82">O64</f>
        <v>1134.259250102898</v>
      </c>
      <c r="E75" s="83">
        <f t="shared" si="82"/>
        <v>1304.6362814801028</v>
      </c>
      <c r="F75" s="83">
        <f t="shared" si="82"/>
        <v>1432.6594710046859</v>
      </c>
      <c r="G75" s="83">
        <f t="shared" si="82"/>
        <v>1483.0771243259205</v>
      </c>
    </row>
    <row r="76" spans="2:18">
      <c r="B76" s="123" t="s">
        <v>101</v>
      </c>
      <c r="G76" s="83">
        <f>G75*(1+C72)/(C71-C72)</f>
        <v>23415.780948065829</v>
      </c>
      <c r="I76" s="126" t="s">
        <v>102</v>
      </c>
    </row>
    <row r="77" spans="2:18">
      <c r="B77" s="125" t="s">
        <v>103</v>
      </c>
      <c r="C77" s="119">
        <f>C75+C76</f>
        <v>958.81377023729829</v>
      </c>
      <c r="D77" s="119">
        <f t="shared" ref="D77:G77" si="83">D75+D76</f>
        <v>1134.259250102898</v>
      </c>
      <c r="E77" s="119">
        <f t="shared" si="83"/>
        <v>1304.6362814801028</v>
      </c>
      <c r="F77" s="119">
        <f t="shared" si="83"/>
        <v>1432.6594710046859</v>
      </c>
      <c r="G77" s="119">
        <f t="shared" si="83"/>
        <v>24898.858072391748</v>
      </c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</row>
    <row r="78" spans="2:18">
      <c r="B78" s="123" t="s">
        <v>104</v>
      </c>
      <c r="C78" s="83">
        <f>NPV(C71,C77:G77)</f>
        <v>21922.591490203362</v>
      </c>
    </row>
    <row r="79" spans="2:18">
      <c r="B79" s="123" t="s">
        <v>105</v>
      </c>
      <c r="C79" s="83">
        <f>15079-6181</f>
        <v>8898</v>
      </c>
    </row>
    <row r="80" spans="2:18">
      <c r="B80" s="123" t="s">
        <v>106</v>
      </c>
      <c r="C80" s="83">
        <f>C78-C79</f>
        <v>13024.591490203362</v>
      </c>
      <c r="E80" s="1" t="s">
        <v>107</v>
      </c>
    </row>
    <row r="81" spans="2:3">
      <c r="B81" s="123" t="s">
        <v>108</v>
      </c>
      <c r="C81" s="117">
        <f>I51</f>
        <v>268.3</v>
      </c>
    </row>
    <row r="82" spans="2:3">
      <c r="B82" s="123" t="s">
        <v>109</v>
      </c>
      <c r="C82" s="118">
        <f>C80/C81</f>
        <v>48.544880694011781</v>
      </c>
    </row>
  </sheetData>
  <hyperlinks>
    <hyperlink ref="R11" r:id="rId1" xr:uid="{CAE56E67-F456-415A-BCD5-6A0C4D62F89C}"/>
    <hyperlink ref="F6" r:id="rId2" xr:uid="{67CF7C32-EE7C-4924-AFC9-884897296CBE}"/>
    <hyperlink ref="L9" r:id="rId3" xr:uid="{398CF25A-42DA-4A74-89C2-2E69BB05CBB7}"/>
    <hyperlink ref="L7" r:id="rId4" location=":~:text=What%20CAGR%20is%20the%20aftermarket,the%20aftermarket%20auto%20parts%20market." xr:uid="{080794A5-6A54-404C-B893-5206850125E9}"/>
    <hyperlink ref="L8" r:id="rId5" xr:uid="{A6B0605D-8A9B-4562-95BD-8CE13D1871ED}"/>
  </hyperlinks>
  <pageMargins left="0.7" right="0.7" top="0.75" bottom="0.75" header="0.3" footer="0.3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CB9A-C019-4E63-9A13-EB91DE5BCABD}">
  <dimension ref="B2:S25"/>
  <sheetViews>
    <sheetView workbookViewId="0">
      <selection activeCell="H23" sqref="H23"/>
    </sheetView>
  </sheetViews>
  <sheetFormatPr defaultRowHeight="15"/>
  <cols>
    <col min="2" max="2" width="31.85546875" customWidth="1"/>
    <col min="3" max="3" width="10.85546875" customWidth="1"/>
    <col min="4" max="4" width="9.85546875" customWidth="1"/>
    <col min="5" max="5" width="10.140625" customWidth="1"/>
    <col min="6" max="6" width="10" customWidth="1"/>
    <col min="9" max="9" width="9.42578125" customWidth="1"/>
    <col min="10" max="13" width="9.28515625" bestFit="1" customWidth="1"/>
    <col min="16" max="17" width="8.85546875" customWidth="1"/>
    <col min="18" max="18" width="9.28515625" customWidth="1"/>
    <col min="19" max="19" width="8.85546875" customWidth="1"/>
  </cols>
  <sheetData>
    <row r="2" spans="2:19">
      <c r="B2" s="2"/>
      <c r="C2" s="22">
        <v>2020</v>
      </c>
      <c r="D2" s="22">
        <v>2021</v>
      </c>
      <c r="E2" s="22">
        <v>2022</v>
      </c>
      <c r="F2" s="3" t="s">
        <v>45</v>
      </c>
      <c r="G2" s="3" t="s">
        <v>46</v>
      </c>
      <c r="H2" s="3" t="s">
        <v>47</v>
      </c>
      <c r="I2" s="3" t="s">
        <v>48</v>
      </c>
      <c r="J2" s="25" t="s">
        <v>49</v>
      </c>
      <c r="K2" s="3" t="s">
        <v>50</v>
      </c>
      <c r="L2" s="3" t="s">
        <v>51</v>
      </c>
      <c r="M2" s="3" t="s">
        <v>52</v>
      </c>
      <c r="N2" s="3" t="s">
        <v>53</v>
      </c>
      <c r="O2" s="22" t="s">
        <v>33</v>
      </c>
      <c r="P2" s="22" t="s">
        <v>54</v>
      </c>
      <c r="Q2" s="22" t="s">
        <v>55</v>
      </c>
      <c r="R2" s="22" t="s">
        <v>56</v>
      </c>
      <c r="S2" s="22" t="s">
        <v>57</v>
      </c>
    </row>
    <row r="3" spans="2:19">
      <c r="B3" s="48"/>
      <c r="C3" s="22"/>
      <c r="D3" s="22"/>
      <c r="E3" s="22"/>
      <c r="F3" s="3"/>
      <c r="G3" s="3"/>
      <c r="H3" s="3"/>
      <c r="I3" s="3"/>
      <c r="J3" s="25"/>
      <c r="K3" s="3"/>
      <c r="L3" s="3"/>
      <c r="M3" s="3"/>
      <c r="N3" s="3"/>
      <c r="O3" s="22"/>
      <c r="P3" s="22"/>
      <c r="Q3" s="22"/>
      <c r="R3" s="22"/>
      <c r="S3" s="22"/>
    </row>
    <row r="4" spans="2:19">
      <c r="B4" s="5" t="s">
        <v>110</v>
      </c>
      <c r="C4" s="61">
        <f>SUM(C5:C7)</f>
        <v>-5.7999999999999996E-2</v>
      </c>
      <c r="D4" s="61">
        <f>SUM(D5:D7)</f>
        <v>0.104</v>
      </c>
      <c r="E4" s="61">
        <f>SUM(E5:E7)</f>
        <v>-5.3999999999999992E-2</v>
      </c>
      <c r="F4" s="62">
        <f>SUM(F5:F7)</f>
        <v>4.5000000000000012E-2</v>
      </c>
      <c r="G4" s="63">
        <f>SUM(G5:G7)</f>
        <v>0.109</v>
      </c>
      <c r="H4" s="63">
        <f>SUM(H5:H7)</f>
        <v>0.14799999999999999</v>
      </c>
      <c r="I4" s="63">
        <f>SUM(I5:I7)</f>
        <v>-0.2</v>
      </c>
      <c r="J4" s="64">
        <v>0.10252833478639922</v>
      </c>
      <c r="K4" s="63">
        <f>SUM(K5:K7)</f>
        <v>4.4999999999999998E-2</v>
      </c>
      <c r="L4" s="63">
        <f>SUM(L5:L7)</f>
        <v>4.4999999999999998E-2</v>
      </c>
      <c r="M4" s="63">
        <f>SUM(M5:M7)</f>
        <v>4.4999999999999998E-2</v>
      </c>
      <c r="N4" s="63">
        <f>SUM(N5:N7)</f>
        <v>4.4999999999999998E-2</v>
      </c>
      <c r="O4" s="61">
        <f>SUM(O5:O7)</f>
        <v>4.4999999999999998E-2</v>
      </c>
      <c r="P4" s="60">
        <f>SUM(P5:P7)</f>
        <v>0.03</v>
      </c>
      <c r="Q4" s="60">
        <f t="shared" ref="Q4:S4" si="0">SUM(Q5:Q7)</f>
        <v>0.03</v>
      </c>
      <c r="R4" s="60">
        <f t="shared" si="0"/>
        <v>1.4999999999999999E-2</v>
      </c>
      <c r="S4" s="60">
        <f t="shared" si="0"/>
        <v>1.4999999999999999E-2</v>
      </c>
    </row>
    <row r="5" spans="2:19">
      <c r="B5" s="8" t="s">
        <v>111</v>
      </c>
      <c r="C5" s="49">
        <v>-0.06</v>
      </c>
      <c r="D5" s="49">
        <v>6.2E-2</v>
      </c>
      <c r="E5" s="49">
        <v>0.05</v>
      </c>
      <c r="F5" s="50">
        <v>9.7000000000000003E-2</v>
      </c>
      <c r="G5" s="51">
        <v>8.4000000000000005E-2</v>
      </c>
      <c r="H5" s="51">
        <v>5.0999999999999997E-2</v>
      </c>
      <c r="I5" s="51">
        <f>J5-H5-G5-F5</f>
        <v>-0.16400000000000001</v>
      </c>
      <c r="J5" s="52">
        <v>6.8000000000000005E-2</v>
      </c>
      <c r="K5" s="65">
        <f>$O$5</f>
        <v>4.4999999999999998E-2</v>
      </c>
      <c r="L5" s="65">
        <f>$O$5</f>
        <v>4.4999999999999998E-2</v>
      </c>
      <c r="M5" s="65">
        <f>$O$5</f>
        <v>4.4999999999999998E-2</v>
      </c>
      <c r="N5" s="65">
        <f>$O$5</f>
        <v>4.4999999999999998E-2</v>
      </c>
      <c r="O5" s="71">
        <v>4.4999999999999998E-2</v>
      </c>
      <c r="P5" s="69">
        <v>0.03</v>
      </c>
      <c r="Q5" s="69">
        <v>0.03</v>
      </c>
      <c r="R5" s="69">
        <v>1.4999999999999999E-2</v>
      </c>
      <c r="S5" s="69">
        <v>1.4999999999999999E-2</v>
      </c>
    </row>
    <row r="6" spans="2:19">
      <c r="B6" s="8" t="s">
        <v>112</v>
      </c>
      <c r="C6" s="49">
        <v>-8.9999999999999993E-3</v>
      </c>
      <c r="D6" s="49">
        <v>-4.0000000000000001E-3</v>
      </c>
      <c r="E6" s="49">
        <v>4.0000000000000001E-3</v>
      </c>
      <c r="F6" s="50">
        <v>7.0000000000000001E-3</v>
      </c>
      <c r="G6" s="51">
        <v>8.9999999999999993E-3</v>
      </c>
      <c r="H6" s="51">
        <v>1.9E-2</v>
      </c>
      <c r="I6" s="51">
        <f>J6-H6-G6-F6</f>
        <v>-2.1999999999999999E-2</v>
      </c>
      <c r="J6" s="52">
        <v>1.2999999999999999E-2</v>
      </c>
      <c r="K6" s="72">
        <v>0</v>
      </c>
      <c r="L6" s="72">
        <v>0</v>
      </c>
      <c r="M6" s="72">
        <v>0</v>
      </c>
      <c r="N6" s="72">
        <v>0</v>
      </c>
      <c r="O6" s="71">
        <f>K6</f>
        <v>0</v>
      </c>
      <c r="P6" s="69">
        <v>0</v>
      </c>
      <c r="Q6" s="69">
        <v>0</v>
      </c>
      <c r="R6" s="69">
        <v>0</v>
      </c>
      <c r="S6" s="69">
        <v>0</v>
      </c>
    </row>
    <row r="7" spans="2:19">
      <c r="B7" s="8" t="s">
        <v>113</v>
      </c>
      <c r="C7" s="49">
        <v>1.0999999999999999E-2</v>
      </c>
      <c r="D7" s="49">
        <v>4.5999999999999999E-2</v>
      </c>
      <c r="E7" s="49">
        <v>-0.108</v>
      </c>
      <c r="F7" s="50">
        <v>-5.8999999999999997E-2</v>
      </c>
      <c r="G7" s="51">
        <v>1.6E-2</v>
      </c>
      <c r="H7" s="51">
        <v>7.8E-2</v>
      </c>
      <c r="I7" s="51">
        <f>J7-H7-G7-F7</f>
        <v>-1.3999999999999999E-2</v>
      </c>
      <c r="J7" s="52">
        <v>2.1000000000000001E-2</v>
      </c>
      <c r="K7" s="65">
        <v>0</v>
      </c>
      <c r="L7" s="65">
        <v>0</v>
      </c>
      <c r="M7" s="65">
        <v>0</v>
      </c>
      <c r="N7" s="65">
        <v>0</v>
      </c>
      <c r="O7" s="49">
        <f>K7</f>
        <v>0</v>
      </c>
      <c r="P7" s="69">
        <v>0</v>
      </c>
      <c r="Q7" s="69">
        <v>0</v>
      </c>
      <c r="R7" s="69">
        <v>0</v>
      </c>
      <c r="S7" s="69">
        <v>0</v>
      </c>
    </row>
    <row r="8" spans="2:19">
      <c r="B8" s="5" t="s">
        <v>114</v>
      </c>
      <c r="C8" s="28">
        <v>5492.1839999999993</v>
      </c>
      <c r="D8" s="28">
        <v>6061.9479999999994</v>
      </c>
      <c r="E8" s="28">
        <v>5735</v>
      </c>
      <c r="F8" s="37">
        <v>1555</v>
      </c>
      <c r="G8" s="36">
        <v>1638</v>
      </c>
      <c r="H8" s="36">
        <v>1584</v>
      </c>
      <c r="I8" s="36">
        <v>1546</v>
      </c>
      <c r="J8" s="31">
        <v>6323</v>
      </c>
      <c r="K8" s="39">
        <f>F8*(1+K4)</f>
        <v>1624.9749999999999</v>
      </c>
      <c r="L8" s="39">
        <f>G8*(1+L4)</f>
        <v>1711.7099999999998</v>
      </c>
      <c r="M8" s="39">
        <f>H8*(1+M4)</f>
        <v>1655.28</v>
      </c>
      <c r="N8" s="39">
        <f>I8*(1+N4)</f>
        <v>1615.57</v>
      </c>
      <c r="O8" s="29">
        <f>SUM(K8:N8)</f>
        <v>6607.5349999999989</v>
      </c>
      <c r="P8" s="29">
        <f>O8*(1+P4)</f>
        <v>6805.7610499999992</v>
      </c>
      <c r="Q8" s="29">
        <f t="shared" ref="Q8:S8" si="1">P8*(1+Q4)</f>
        <v>7009.9338814999992</v>
      </c>
      <c r="R8" s="29">
        <f t="shared" si="1"/>
        <v>7115.0828897224983</v>
      </c>
      <c r="S8" s="29">
        <f t="shared" si="1"/>
        <v>7221.8091330683346</v>
      </c>
    </row>
    <row r="9" spans="2:19">
      <c r="B9" s="8" t="s">
        <v>115</v>
      </c>
      <c r="C9" s="49"/>
      <c r="D9" s="49">
        <f>D8/'Main Model'!C31</f>
        <v>0.46315056327293014</v>
      </c>
      <c r="E9" s="49">
        <f>E8/'Main Model'!D31</f>
        <v>0.44825699546662501</v>
      </c>
      <c r="F9" s="50">
        <f>F8/'Main Model'!E31</f>
        <v>0.46431770677814271</v>
      </c>
      <c r="G9" s="51">
        <f>G8/'Main Model'!F31</f>
        <v>0.47505800464037123</v>
      </c>
      <c r="H9" s="51">
        <f>H8/'Main Model'!G31</f>
        <v>0.44394618834080718</v>
      </c>
      <c r="I9" s="51">
        <f>I8/'Main Model'!H31</f>
        <v>0.4415881176806627</v>
      </c>
      <c r="J9" s="52">
        <f>J8/'Main Model'!I31</f>
        <v>0.45600750036059429</v>
      </c>
      <c r="K9" s="72">
        <f>K8/'Main Model'!J31</f>
        <v>0.46038765978918822</v>
      </c>
      <c r="L9" s="72">
        <f>L8/'Main Model'!K31</f>
        <v>0.47093441727404256</v>
      </c>
      <c r="M9" s="72">
        <f>M8/'Main Model'!L31</f>
        <v>0.43986098822084985</v>
      </c>
      <c r="N9" s="72">
        <f>N8/'Main Model'!M31</f>
        <v>0.43743654406218119</v>
      </c>
      <c r="O9" s="127">
        <f>O8/'Main Model'!N31</f>
        <v>0.45192872468396222</v>
      </c>
      <c r="P9" s="70">
        <f>P8/'Main Model'!O31</f>
        <v>0.44139565552051535</v>
      </c>
      <c r="Q9" s="70">
        <f>Q8/'Main Model'!P31</f>
        <v>0.43105071900601877</v>
      </c>
      <c r="R9" s="70">
        <f>R8/'Main Model'!Q31</f>
        <v>0.41476546361080607</v>
      </c>
      <c r="S9" s="70">
        <f>S8/'Main Model'!R31</f>
        <v>0.4169853016396069</v>
      </c>
    </row>
    <row r="10" spans="2:19">
      <c r="B10" s="5" t="s">
        <v>116</v>
      </c>
      <c r="C10" s="42">
        <f>C8-C12</f>
        <v>3463.1079999999993</v>
      </c>
      <c r="D10" s="42">
        <f>D8-D12</f>
        <v>3726.1579999999994</v>
      </c>
      <c r="E10" s="42">
        <f>E8-E12</f>
        <v>3520</v>
      </c>
      <c r="F10" s="53">
        <f>F8-F12</f>
        <v>967</v>
      </c>
      <c r="G10" s="53">
        <f>G8-G12</f>
        <v>993</v>
      </c>
      <c r="H10" s="53">
        <f>H8-H12</f>
        <v>977</v>
      </c>
      <c r="I10" s="53">
        <f>I8-I12</f>
        <v>949</v>
      </c>
      <c r="J10" s="54">
        <f>J8-J12</f>
        <v>3886</v>
      </c>
      <c r="K10" s="36">
        <f>K11*K8</f>
        <v>1002.390125</v>
      </c>
      <c r="L10" s="36">
        <f>L11*L8</f>
        <v>1029.1264499999997</v>
      </c>
      <c r="M10" s="36">
        <f>M11*M8</f>
        <v>1012.6886</v>
      </c>
      <c r="N10" s="36">
        <f>N11*N8</f>
        <v>983.62714999999992</v>
      </c>
      <c r="O10" s="47">
        <f>SUM(K10:N10)</f>
        <v>4027.8323249999994</v>
      </c>
      <c r="P10" s="47">
        <f>P11*P8</f>
        <v>4131.6528921250001</v>
      </c>
      <c r="Q10" s="47">
        <f t="shared" ref="Q10:S10" si="2">Q11*Q8</f>
        <v>4238.0776441850003</v>
      </c>
      <c r="R10" s="47">
        <f t="shared" si="2"/>
        <v>4283.861101623469</v>
      </c>
      <c r="S10" s="47">
        <f t="shared" si="2"/>
        <v>4330.0644953151505</v>
      </c>
    </row>
    <row r="11" spans="2:19" s="10" customFormat="1">
      <c r="B11" s="8" t="s">
        <v>117</v>
      </c>
      <c r="C11" s="55">
        <f>C10/C8</f>
        <v>0.63055207181696749</v>
      </c>
      <c r="D11" s="55">
        <f>D10/D8</f>
        <v>0.6146799675615825</v>
      </c>
      <c r="E11" s="55">
        <f>E10/E8</f>
        <v>0.61377506538796867</v>
      </c>
      <c r="F11" s="51">
        <f>F10/F8</f>
        <v>0.62186495176848877</v>
      </c>
      <c r="G11" s="51">
        <f>G10/G8</f>
        <v>0.60622710622710618</v>
      </c>
      <c r="H11" s="51">
        <f>H10/H8</f>
        <v>0.61679292929292928</v>
      </c>
      <c r="I11" s="51">
        <f>I10/I8</f>
        <v>0.61384217335058211</v>
      </c>
      <c r="J11" s="56">
        <f>J10/J8</f>
        <v>0.61458168590858775</v>
      </c>
      <c r="K11" s="65">
        <f>F11-0.5%</f>
        <v>0.61686495176848877</v>
      </c>
      <c r="L11" s="65">
        <f t="shared" ref="L11:N11" si="3">G11-0.5%</f>
        <v>0.60122710622710618</v>
      </c>
      <c r="M11" s="65">
        <f t="shared" si="3"/>
        <v>0.61179292929292928</v>
      </c>
      <c r="N11" s="65">
        <f>I11-0.5%</f>
        <v>0.60884217335058211</v>
      </c>
      <c r="O11" s="69">
        <f>O10/O8</f>
        <v>0.60958168590858774</v>
      </c>
      <c r="P11" s="69">
        <f>O11-0.25%</f>
        <v>0.6070816859085878</v>
      </c>
      <c r="Q11" s="69">
        <f>P11-0.25%</f>
        <v>0.60458168590858785</v>
      </c>
      <c r="R11" s="69">
        <f>Q11-0.25%</f>
        <v>0.6020816859085879</v>
      </c>
      <c r="S11" s="69">
        <f>R11-0.25%</f>
        <v>0.59958168590858796</v>
      </c>
    </row>
    <row r="12" spans="2:19">
      <c r="B12" s="5" t="s">
        <v>118</v>
      </c>
      <c r="C12" s="28">
        <v>2029.076</v>
      </c>
      <c r="D12" s="28">
        <v>2335.79</v>
      </c>
      <c r="E12" s="28">
        <v>2215</v>
      </c>
      <c r="F12" s="38">
        <v>588</v>
      </c>
      <c r="G12" s="39">
        <v>645</v>
      </c>
      <c r="H12" s="39">
        <v>607</v>
      </c>
      <c r="I12" s="39">
        <v>597</v>
      </c>
      <c r="J12" s="31">
        <v>2437</v>
      </c>
      <c r="K12" s="39">
        <f>K8-K10</f>
        <v>622.5848749999999</v>
      </c>
      <c r="L12" s="39">
        <f>L8-L10</f>
        <v>682.58355000000006</v>
      </c>
      <c r="M12" s="39">
        <f>M8-M10</f>
        <v>642.59140000000002</v>
      </c>
      <c r="N12" s="39">
        <f>N8-N10</f>
        <v>631.94285000000002</v>
      </c>
      <c r="O12" s="47">
        <f>SUM(K12:N12)</f>
        <v>2579.702675</v>
      </c>
      <c r="P12" s="29">
        <f>P8-P10</f>
        <v>2674.1081578749991</v>
      </c>
      <c r="Q12" s="29">
        <f t="shared" ref="Q12:S12" si="4">Q8-Q10</f>
        <v>2771.8562373149989</v>
      </c>
      <c r="R12" s="29">
        <f t="shared" si="4"/>
        <v>2831.2217880990293</v>
      </c>
      <c r="S12" s="29">
        <f t="shared" si="4"/>
        <v>2891.7446377531842</v>
      </c>
    </row>
    <row r="13" spans="2:19">
      <c r="B13" s="8" t="s">
        <v>119</v>
      </c>
      <c r="C13" s="57">
        <f>C12/C8</f>
        <v>0.36944792818303251</v>
      </c>
      <c r="D13" s="57">
        <f>D12/D8</f>
        <v>0.3853200324384175</v>
      </c>
      <c r="E13" s="57">
        <f>E12/E8</f>
        <v>0.38622493461203139</v>
      </c>
      <c r="F13" s="58">
        <f>F12/F8</f>
        <v>0.37813504823151123</v>
      </c>
      <c r="G13" s="58">
        <f>G12/G8</f>
        <v>0.39377289377289376</v>
      </c>
      <c r="H13" s="58">
        <f>H12/H8</f>
        <v>0.38320707070707072</v>
      </c>
      <c r="I13" s="58">
        <f>I12/I8</f>
        <v>0.38615782664941783</v>
      </c>
      <c r="J13" s="59">
        <f>J12/J8</f>
        <v>0.38541831409141231</v>
      </c>
      <c r="K13" s="58">
        <f>K12/K8</f>
        <v>0.38313504823151123</v>
      </c>
      <c r="L13" s="58">
        <f>L12/L8</f>
        <v>0.39877289377289388</v>
      </c>
      <c r="M13" s="58">
        <f>M12/M8</f>
        <v>0.38820707070707072</v>
      </c>
      <c r="N13" s="58">
        <f>N12/N8</f>
        <v>0.39115782664941789</v>
      </c>
      <c r="O13" s="57">
        <f>O12/O8</f>
        <v>0.39041831409141237</v>
      </c>
      <c r="P13" s="57">
        <f t="shared" ref="P13:S13" si="5">P12/P8</f>
        <v>0.3929183140914122</v>
      </c>
      <c r="Q13" s="57">
        <f t="shared" si="5"/>
        <v>0.3954183140914122</v>
      </c>
      <c r="R13" s="57">
        <f t="shared" si="5"/>
        <v>0.3979183140914121</v>
      </c>
      <c r="S13" s="57">
        <f t="shared" si="5"/>
        <v>0.40041831409141199</v>
      </c>
    </row>
    <row r="14" spans="2:19">
      <c r="B14" s="2" t="s">
        <v>120</v>
      </c>
      <c r="C14" s="24">
        <v>1615</v>
      </c>
      <c r="D14" s="24">
        <v>1733</v>
      </c>
      <c r="E14" s="24">
        <v>1651</v>
      </c>
      <c r="F14" s="4">
        <v>441</v>
      </c>
      <c r="G14">
        <v>460</v>
      </c>
      <c r="H14">
        <v>464</v>
      </c>
      <c r="I14">
        <v>477</v>
      </c>
      <c r="J14" s="26">
        <v>1842</v>
      </c>
      <c r="K14" s="66">
        <f>K15*K8</f>
        <v>460.84499999999997</v>
      </c>
      <c r="L14" s="44">
        <f>L15*L8</f>
        <v>480.69999999999993</v>
      </c>
      <c r="M14" s="44">
        <f>M15*M8</f>
        <v>468.32719999999995</v>
      </c>
      <c r="N14" s="44">
        <f>N15*N8</f>
        <v>482.30929999999995</v>
      </c>
      <c r="O14" s="45">
        <f>SUM(K14:N14)</f>
        <v>1892.1814999999997</v>
      </c>
      <c r="P14" s="27">
        <f>P15*P8</f>
        <v>1931.9325423749997</v>
      </c>
      <c r="Q14" s="27">
        <f t="shared" ref="Q14:S14" si="6">Q15*Q8</f>
        <v>1972.3656839424996</v>
      </c>
      <c r="R14" s="27">
        <f t="shared" si="6"/>
        <v>1984.1634619773306</v>
      </c>
      <c r="S14" s="27">
        <f t="shared" si="6"/>
        <v>1995.8713910743195</v>
      </c>
    </row>
    <row r="15" spans="2:19">
      <c r="B15" s="8" t="s">
        <v>117</v>
      </c>
      <c r="C15" s="49">
        <f>C14/C8</f>
        <v>0.29405424144566172</v>
      </c>
      <c r="D15" s="49">
        <f>D14/D8</f>
        <v>0.28588170007396962</v>
      </c>
      <c r="E15" s="49">
        <f>E14/E8</f>
        <v>0.28788142981691367</v>
      </c>
      <c r="F15" s="50">
        <f>F14/F8</f>
        <v>0.28360128617363345</v>
      </c>
      <c r="G15" s="51">
        <f>G14/G8</f>
        <v>0.28083028083028083</v>
      </c>
      <c r="H15" s="51">
        <f>H14/H8</f>
        <v>0.29292929292929293</v>
      </c>
      <c r="I15" s="51">
        <f>I14/I8</f>
        <v>0.30853816300129366</v>
      </c>
      <c r="J15" s="52">
        <f>J14/J8</f>
        <v>0.29131741262059146</v>
      </c>
      <c r="K15" s="65">
        <f>F15</f>
        <v>0.28360128617363345</v>
      </c>
      <c r="L15" s="65">
        <f>G15</f>
        <v>0.28083028083028083</v>
      </c>
      <c r="M15" s="65">
        <f>H15-1%</f>
        <v>0.28292929292929292</v>
      </c>
      <c r="N15" s="65">
        <f>I15-1%</f>
        <v>0.29853816300129365</v>
      </c>
      <c r="O15" s="70">
        <f>O14/O8</f>
        <v>0.28636723074489956</v>
      </c>
      <c r="P15" s="69">
        <f>O15-0.25%</f>
        <v>0.28386723074489956</v>
      </c>
      <c r="Q15" s="69">
        <f>P15-0.25%</f>
        <v>0.28136723074489955</v>
      </c>
      <c r="R15" s="69">
        <f>Q15-0.25%</f>
        <v>0.27886723074489955</v>
      </c>
      <c r="S15" s="69">
        <f>R15-0.25%</f>
        <v>0.27636723074489955</v>
      </c>
    </row>
    <row r="16" spans="2:19">
      <c r="B16" s="2" t="s">
        <v>121</v>
      </c>
      <c r="C16" s="24">
        <v>2</v>
      </c>
      <c r="D16" s="24">
        <v>-2</v>
      </c>
      <c r="E16" s="24">
        <v>0</v>
      </c>
      <c r="F16" s="4">
        <v>0</v>
      </c>
      <c r="G16" s="4">
        <v>0</v>
      </c>
      <c r="H16" s="4">
        <v>0</v>
      </c>
      <c r="I16" s="4">
        <v>0</v>
      </c>
      <c r="J16" s="26">
        <v>0</v>
      </c>
      <c r="K16" s="4">
        <v>0</v>
      </c>
      <c r="L16" s="4">
        <v>0</v>
      </c>
      <c r="M16" s="4">
        <v>0</v>
      </c>
      <c r="N16" s="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</row>
    <row r="17" spans="2:19">
      <c r="B17" s="2" t="s">
        <v>122</v>
      </c>
      <c r="C17" s="24">
        <v>-15.505999999999972</v>
      </c>
      <c r="D17" s="24">
        <v>-13.035000000000082</v>
      </c>
      <c r="E17" s="24">
        <v>-21</v>
      </c>
      <c r="F17" s="4">
        <v>-4</v>
      </c>
      <c r="G17" s="4">
        <v>-3</v>
      </c>
      <c r="H17" s="4">
        <v>-4</v>
      </c>
      <c r="I17" s="4">
        <v>-8</v>
      </c>
      <c r="J17" s="26">
        <v>-19</v>
      </c>
      <c r="K17" s="4">
        <v>0</v>
      </c>
      <c r="L17" s="4">
        <v>0</v>
      </c>
      <c r="M17" s="4">
        <v>0</v>
      </c>
      <c r="N17" s="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</row>
    <row r="18" spans="2:19">
      <c r="B18" s="5" t="s">
        <v>85</v>
      </c>
      <c r="C18" s="28">
        <f>C12-C14-C16-C17</f>
        <v>427.58199999999999</v>
      </c>
      <c r="D18" s="28">
        <f>D12-D14-D16-D17</f>
        <v>617.82500000000005</v>
      </c>
      <c r="E18" s="28">
        <f>E12-E14-E16-E17</f>
        <v>585</v>
      </c>
      <c r="F18" s="35">
        <f>F12-F14-F16-F17</f>
        <v>151</v>
      </c>
      <c r="G18" s="6">
        <f>G12-G14-G16-G17</f>
        <v>188</v>
      </c>
      <c r="H18" s="6">
        <f>H12-H14-H16-H17</f>
        <v>147</v>
      </c>
      <c r="I18" s="6">
        <f>I12-I14-I16-I17</f>
        <v>128</v>
      </c>
      <c r="J18" s="31">
        <f>J12-J14-J16-J17</f>
        <v>614</v>
      </c>
      <c r="K18" s="67">
        <f>K12-K14-K16-K17</f>
        <v>161.73987499999993</v>
      </c>
      <c r="L18" s="68">
        <f>L12-L14-L16-L17</f>
        <v>201.88355000000013</v>
      </c>
      <c r="M18" s="68">
        <f>M12-M14-M16-M17</f>
        <v>174.26420000000007</v>
      </c>
      <c r="N18" s="68">
        <f>N12-N14-N16-N17</f>
        <v>149.63355000000007</v>
      </c>
      <c r="O18" s="47">
        <f>SUM(K18:N18)</f>
        <v>687.52117500000008</v>
      </c>
      <c r="P18" s="28">
        <f>P12-P14-P16-P17</f>
        <v>742.17561549999937</v>
      </c>
      <c r="Q18" s="28">
        <f>Q12-Q14-Q16-Q17</f>
        <v>799.49055337249933</v>
      </c>
      <c r="R18" s="28">
        <f>R12-R14-R16-R17</f>
        <v>847.05832612169866</v>
      </c>
      <c r="S18" s="28">
        <f>S12-S14-S16-S17</f>
        <v>895.87324667886469</v>
      </c>
    </row>
    <row r="19" spans="2:19">
      <c r="B19" s="8" t="s">
        <v>123</v>
      </c>
      <c r="C19" s="49">
        <f>C18/C8</f>
        <v>7.7852817749733086E-2</v>
      </c>
      <c r="D19" s="49">
        <f>D18/D8</f>
        <v>0.10191855819284495</v>
      </c>
      <c r="E19" s="49">
        <f>E18/E8</f>
        <v>0.1020052310374891</v>
      </c>
      <c r="F19" s="50">
        <f>F18/F8</f>
        <v>9.7106109324758841E-2</v>
      </c>
      <c r="G19" s="51">
        <f>G18/G8</f>
        <v>0.11477411477411477</v>
      </c>
      <c r="H19" s="51">
        <f>H18/H8</f>
        <v>9.2803030303030304E-2</v>
      </c>
      <c r="I19" s="51">
        <f>I18/I8</f>
        <v>8.2794307891332478E-2</v>
      </c>
      <c r="J19" s="52">
        <f>J18/J8</f>
        <v>9.7105804206863836E-2</v>
      </c>
      <c r="K19" s="51">
        <f>K18/K8</f>
        <v>9.953376205787777E-2</v>
      </c>
      <c r="L19" s="51">
        <f>L18/L8</f>
        <v>0.11794261294261303</v>
      </c>
      <c r="M19" s="51">
        <f>M18/M8</f>
        <v>0.10527777777777782</v>
      </c>
      <c r="N19" s="51">
        <f>N18/N8</f>
        <v>9.261966364812424E-2</v>
      </c>
      <c r="O19" s="55">
        <f>O18/O8</f>
        <v>0.10405108334651277</v>
      </c>
      <c r="P19" s="55">
        <f t="shared" ref="P19:S19" si="7">P18/P8</f>
        <v>0.10905108334651265</v>
      </c>
      <c r="Q19" s="55">
        <f t="shared" si="7"/>
        <v>0.11405108334651265</v>
      </c>
      <c r="R19" s="55">
        <f t="shared" si="7"/>
        <v>0.11905108334651257</v>
      </c>
      <c r="S19" s="55">
        <f t="shared" si="7"/>
        <v>0.12405108334651244</v>
      </c>
    </row>
    <row r="21" spans="2:19">
      <c r="B21" s="90" t="s">
        <v>124</v>
      </c>
      <c r="C21" s="91"/>
      <c r="D21" s="91"/>
      <c r="E21" s="91"/>
      <c r="F21" s="91"/>
      <c r="G21" s="91"/>
      <c r="H21" s="91"/>
      <c r="I21" s="92"/>
      <c r="J21" s="91"/>
      <c r="K21" s="91"/>
      <c r="L21" s="91"/>
      <c r="M21" s="91"/>
      <c r="N21" s="91"/>
      <c r="O21" s="91"/>
      <c r="P21" s="91"/>
      <c r="Q21" s="91"/>
      <c r="R21" s="91"/>
      <c r="S21" s="91"/>
    </row>
    <row r="23" spans="2:19" ht="30.75" customHeight="1">
      <c r="C23" s="6" t="s">
        <v>125</v>
      </c>
      <c r="D23" s="48" t="s">
        <v>126</v>
      </c>
      <c r="E23" s="128" t="s">
        <v>127</v>
      </c>
      <c r="F23" s="129" t="s">
        <v>128</v>
      </c>
    </row>
    <row r="24" spans="2:19">
      <c r="B24" s="6" t="s">
        <v>129</v>
      </c>
      <c r="C24" s="41">
        <v>12773</v>
      </c>
      <c r="D24" s="41">
        <v>18250</v>
      </c>
      <c r="E24">
        <v>13.6</v>
      </c>
      <c r="F24">
        <v>13.3</v>
      </c>
      <c r="H24" s="10"/>
    </row>
    <row r="25" spans="2:19">
      <c r="B25" s="6" t="s">
        <v>130</v>
      </c>
      <c r="C25" s="41">
        <f>C24*J9</f>
        <v>5824.5838021058707</v>
      </c>
      <c r="D25" s="41">
        <f>C25/C24*D24</f>
        <v>8322.1368815808455</v>
      </c>
      <c r="E25" s="130">
        <f>D25/J18</f>
        <v>13.553968862509521</v>
      </c>
      <c r="F25" s="130">
        <f>D25/O18</f>
        <v>12.10455355295907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B1EA-5B26-4ADB-B507-62B4C3151CB3}">
  <dimension ref="B2:H6"/>
  <sheetViews>
    <sheetView tabSelected="1" workbookViewId="0">
      <selection activeCell="H7" sqref="H7"/>
    </sheetView>
  </sheetViews>
  <sheetFormatPr defaultRowHeight="15"/>
  <cols>
    <col min="2" max="2" width="30.28515625" customWidth="1"/>
    <col min="3" max="3" width="10.28515625" customWidth="1"/>
    <col min="4" max="4" width="9.42578125" customWidth="1"/>
    <col min="5" max="5" width="9.140625" customWidth="1"/>
  </cols>
  <sheetData>
    <row r="2" spans="2:8">
      <c r="B2" s="2"/>
      <c r="C2" s="132">
        <v>2018</v>
      </c>
      <c r="D2" s="132">
        <v>2019</v>
      </c>
      <c r="E2" s="132">
        <v>2020</v>
      </c>
      <c r="F2" s="132">
        <v>2021</v>
      </c>
      <c r="G2" s="132">
        <v>2022</v>
      </c>
      <c r="H2" s="133">
        <v>2023</v>
      </c>
    </row>
    <row r="3" spans="2:8">
      <c r="B3" s="90" t="s">
        <v>58</v>
      </c>
      <c r="C3" s="90"/>
      <c r="D3" s="90"/>
      <c r="E3" s="134"/>
      <c r="F3" s="134"/>
      <c r="G3" s="134"/>
      <c r="H3" s="135"/>
    </row>
    <row r="4" spans="2:8">
      <c r="B4" s="74" t="s">
        <v>64</v>
      </c>
      <c r="C4" s="136">
        <v>7301.817</v>
      </c>
      <c r="D4" s="136">
        <v>7633.3559999999998</v>
      </c>
      <c r="E4" s="136">
        <v>7028.3379999999997</v>
      </c>
      <c r="F4" s="137">
        <v>7742.9699999999993</v>
      </c>
      <c r="G4" s="138">
        <v>7544</v>
      </c>
      <c r="H4" s="139">
        <v>8255</v>
      </c>
    </row>
    <row r="5" spans="2:8">
      <c r="B5" s="6" t="s">
        <v>131</v>
      </c>
      <c r="C5" s="137">
        <v>2836.0749999999998</v>
      </c>
      <c r="D5" s="137">
        <v>2772.777</v>
      </c>
      <c r="E5" s="137">
        <v>2414.6120000000001</v>
      </c>
      <c r="F5" s="137">
        <v>2610.5149999999999</v>
      </c>
      <c r="G5" s="138">
        <v>2752</v>
      </c>
      <c r="H5" s="139">
        <v>3121</v>
      </c>
    </row>
    <row r="6" spans="2:8">
      <c r="B6" s="6" t="s">
        <v>132</v>
      </c>
      <c r="C6" s="140"/>
      <c r="D6" s="141">
        <f>D4/AVERAGE(C5:D5)</f>
        <v>2.7218960314873701</v>
      </c>
      <c r="E6" s="141">
        <f>E4/AVERAGE(D5:E5)</f>
        <v>2.7097786574324769</v>
      </c>
      <c r="F6" s="141">
        <f>F4/AVERAGE(E5:F5)</f>
        <v>3.0817012186955668</v>
      </c>
      <c r="G6" s="141">
        <f>G4/AVERAGE(F5:G5)</f>
        <v>2.8136051833887645</v>
      </c>
      <c r="H6" s="141">
        <f>H4/AVERAGE(G5:H5)</f>
        <v>2.8111697599182701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2024-04-10T23:07:34Z</dcterms:created>
  <dcterms:modified xsi:type="dcterms:W3CDTF">2024-04-18T15:08:28Z</dcterms:modified>
  <cp:category/>
  <cp:contentStatus/>
</cp:coreProperties>
</file>