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Q:\Google Drive\HEC Montreal\Certificat Analytique\H2020_Analytique\cours4_modelisation\Fichiers du thème 3.1\"/>
    </mc:Choice>
  </mc:AlternateContent>
  <xr:revisionPtr revIDLastSave="0" documentId="13_ncr:1_{26BB40FD-BCBC-4232-B44F-0CD7743FB3A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onnées + numéro d'équipe" sheetId="2" r:id="rId1"/>
    <sheet name="a) à d)" sheetId="16" r:id="rId2"/>
    <sheet name="Fonction NB.SI" sheetId="18" r:id="rId3"/>
    <sheet name="e) et f)" sheetId="19" r:id="rId4"/>
    <sheet name="g)" sheetId="20" r:id="rId5"/>
    <sheet name="h)" sheetId="21" r:id="rId6"/>
    <sheet name="Feuil2" sheetId="17" state="hidden" r:id="rId7"/>
    <sheet name="Question 1" sheetId="3" state="hidden" r:id="rId8"/>
    <sheet name="Question 2" sheetId="5" state="hidden" r:id="rId9"/>
    <sheet name="Fonction de revenu avec 4 pts" sheetId="14" state="hidden" r:id="rId10"/>
    <sheet name="Question 3" sheetId="10" state="hidden" r:id="rId11"/>
    <sheet name="Question 4" sheetId="11" state="hidden" r:id="rId12"/>
    <sheet name="Question 5" sheetId="12" state="hidden" r:id="rId13"/>
    <sheet name="Supplément" sheetId="13" state="hidden" r:id="rId14"/>
  </sheets>
  <definedNames>
    <definedName name="prix">OFFSET(Feuil2!$C$9,0,'données + numéro d''équipe'!$G$5,OFFSET(Feuil2!$C$6,0,'données + numéro d''équipe'!$G$5,1,1),1)</definedName>
    <definedName name="prix2">OFFSET('e) et f)'!$C$9,0,0,taille_plage,1)</definedName>
    <definedName name="quantité">OFFSET(Feuil2!$I$9,0,'données + numéro d''équipe'!$G$5-1,OFFSET(Feuil2!$C$6,0,'données + numéro d''équipe'!$G$5,1,1),1)</definedName>
    <definedName name="quantité2">OFFSET('e) et f)'!$D$9,0,0,taille_plage,1)</definedName>
    <definedName name="recettes2">OFFSET('e) et f)'!$E$9,0,0,taille_plage,1)</definedName>
    <definedName name="taille_plage">OFFSET(Feuil2!$C$6,0,'données + numéro d''équipe'!$G$5,1,1)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0" l="1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E26" i="16"/>
  <c r="E27" i="16"/>
  <c r="E28" i="16"/>
  <c r="E25" i="16"/>
  <c r="D28" i="16"/>
  <c r="D27" i="16"/>
  <c r="D26" i="16"/>
  <c r="D25" i="16"/>
  <c r="I21" i="16"/>
  <c r="I20" i="16"/>
  <c r="E14" i="16"/>
  <c r="E11" i="16"/>
  <c r="BF29" i="17" l="1"/>
  <c r="BF30" i="17" s="1"/>
  <c r="BF31" i="17" s="1"/>
  <c r="BF32" i="17" s="1"/>
  <c r="J3" i="20" s="1"/>
  <c r="BC20" i="17" l="1"/>
  <c r="F31" i="16" s="1"/>
  <c r="BB18" i="17"/>
  <c r="J21" i="16" s="1"/>
  <c r="BA18" i="17"/>
  <c r="J20" i="16" s="1"/>
  <c r="AY17" i="17"/>
  <c r="AY16" i="17"/>
  <c r="BA20" i="17" l="1"/>
  <c r="AZ16" i="17"/>
  <c r="F11" i="16" s="1"/>
  <c r="AZ17" i="17"/>
  <c r="F14" i="16" s="1"/>
  <c r="E10" i="16" l="1"/>
  <c r="E9" i="16"/>
  <c r="G5" i="2" l="1"/>
  <c r="B2" i="21" s="1"/>
  <c r="X1" i="17" l="1"/>
  <c r="AZ23" i="17" l="1"/>
  <c r="E6" i="17" l="1"/>
  <c r="C9" i="19" s="1" a="1"/>
  <c r="F6" i="17"/>
  <c r="G6" i="17"/>
  <c r="H6" i="17"/>
  <c r="D6" i="17"/>
  <c r="I49" i="17"/>
  <c r="N49" i="17" s="1"/>
  <c r="J49" i="17"/>
  <c r="K49" i="17"/>
  <c r="L49" i="17"/>
  <c r="V49" i="17" s="1"/>
  <c r="AA49" i="17" s="1"/>
  <c r="AF49" i="17" s="1"/>
  <c r="M49" i="17"/>
  <c r="W49" i="17" s="1"/>
  <c r="AB49" i="17" s="1"/>
  <c r="AG49" i="17" s="1"/>
  <c r="O49" i="17"/>
  <c r="P49" i="17"/>
  <c r="Q49" i="17"/>
  <c r="R49" i="17"/>
  <c r="T49" i="17"/>
  <c r="U49" i="17"/>
  <c r="Z49" i="17" s="1"/>
  <c r="AE49" i="17" s="1"/>
  <c r="Y49" i="17"/>
  <c r="AD49" i="17" s="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M5" i="21"/>
  <c r="L5" i="21"/>
  <c r="C2" i="21"/>
  <c r="AJ7" i="17"/>
  <c r="Q22" i="17"/>
  <c r="Q23" i="17"/>
  <c r="Q24" i="17"/>
  <c r="Q25" i="17"/>
  <c r="Q26" i="17"/>
  <c r="Q27" i="17"/>
  <c r="Q28" i="17"/>
  <c r="Q29" i="17"/>
  <c r="O30" i="17"/>
  <c r="Q30" i="17"/>
  <c r="O31" i="17"/>
  <c r="Q31" i="17"/>
  <c r="O32" i="17"/>
  <c r="Q32" i="17"/>
  <c r="O33" i="17"/>
  <c r="Q33" i="17"/>
  <c r="O34" i="17"/>
  <c r="P34" i="17"/>
  <c r="Q34" i="17"/>
  <c r="O35" i="17"/>
  <c r="P35" i="17"/>
  <c r="Q35" i="17"/>
  <c r="O36" i="17"/>
  <c r="P36" i="17"/>
  <c r="Q36" i="17"/>
  <c r="O37" i="17"/>
  <c r="P37" i="17"/>
  <c r="Q37" i="17"/>
  <c r="O38" i="17"/>
  <c r="P38" i="17"/>
  <c r="Q38" i="17"/>
  <c r="O39" i="17"/>
  <c r="P39" i="17"/>
  <c r="Q39" i="17"/>
  <c r="O40" i="17"/>
  <c r="P40" i="17"/>
  <c r="Q40" i="17"/>
  <c r="O41" i="17"/>
  <c r="P41" i="17"/>
  <c r="Q41" i="17"/>
  <c r="O42" i="17"/>
  <c r="P42" i="17"/>
  <c r="Q42" i="17"/>
  <c r="O43" i="17"/>
  <c r="P43" i="17"/>
  <c r="Q43" i="17"/>
  <c r="O44" i="17"/>
  <c r="P44" i="17"/>
  <c r="Q44" i="17"/>
  <c r="O45" i="17"/>
  <c r="P45" i="17"/>
  <c r="Q45" i="17"/>
  <c r="R45" i="17"/>
  <c r="O46" i="17"/>
  <c r="P46" i="17"/>
  <c r="Q46" i="17"/>
  <c r="R46" i="17"/>
  <c r="O47" i="17"/>
  <c r="P47" i="17"/>
  <c r="Q47" i="17"/>
  <c r="R47" i="17"/>
  <c r="O48" i="17"/>
  <c r="P48" i="17"/>
  <c r="Q48" i="17"/>
  <c r="R48" i="17"/>
  <c r="D2" i="19"/>
  <c r="H5" i="18"/>
  <c r="H6" i="18"/>
  <c r="H7" i="18"/>
  <c r="H4" i="18"/>
  <c r="G5" i="18"/>
  <c r="G6" i="18"/>
  <c r="G7" i="18"/>
  <c r="G4" i="18"/>
  <c r="F5" i="18"/>
  <c r="F6" i="18"/>
  <c r="F7" i="18"/>
  <c r="F4" i="18"/>
  <c r="E5" i="18"/>
  <c r="E6" i="18"/>
  <c r="E7" i="18"/>
  <c r="E4" i="18"/>
  <c r="D5" i="18"/>
  <c r="D6" i="18"/>
  <c r="D7" i="18"/>
  <c r="D4" i="18"/>
  <c r="I10" i="17"/>
  <c r="S10" i="17" s="1"/>
  <c r="J10" i="17"/>
  <c r="T10" i="17" s="1"/>
  <c r="K10" i="17"/>
  <c r="U10" i="17" s="1"/>
  <c r="L10" i="17"/>
  <c r="V10" i="17" s="1"/>
  <c r="M10" i="17"/>
  <c r="W10" i="17" s="1"/>
  <c r="I11" i="17"/>
  <c r="S11" i="17" s="1"/>
  <c r="J11" i="17"/>
  <c r="T11" i="17" s="1"/>
  <c r="K11" i="17"/>
  <c r="U11" i="17" s="1"/>
  <c r="L11" i="17"/>
  <c r="V11" i="17" s="1"/>
  <c r="M11" i="17"/>
  <c r="W11" i="17" s="1"/>
  <c r="I12" i="17"/>
  <c r="S12" i="17" s="1"/>
  <c r="J12" i="17"/>
  <c r="T12" i="17" s="1"/>
  <c r="K12" i="17"/>
  <c r="U12" i="17" s="1"/>
  <c r="L12" i="17"/>
  <c r="V12" i="17" s="1"/>
  <c r="M12" i="17"/>
  <c r="W12" i="17" s="1"/>
  <c r="I13" i="17"/>
  <c r="S13" i="17" s="1"/>
  <c r="J13" i="17"/>
  <c r="T13" i="17" s="1"/>
  <c r="K13" i="17"/>
  <c r="U13" i="17" s="1"/>
  <c r="L13" i="17"/>
  <c r="V13" i="17" s="1"/>
  <c r="M13" i="17"/>
  <c r="W13" i="17" s="1"/>
  <c r="I14" i="17"/>
  <c r="S14" i="17" s="1"/>
  <c r="J14" i="17"/>
  <c r="T14" i="17" s="1"/>
  <c r="K14" i="17"/>
  <c r="U14" i="17" s="1"/>
  <c r="L14" i="17"/>
  <c r="V14" i="17" s="1"/>
  <c r="M14" i="17"/>
  <c r="W14" i="17" s="1"/>
  <c r="I15" i="17"/>
  <c r="S15" i="17" s="1"/>
  <c r="J15" i="17"/>
  <c r="T15" i="17" s="1"/>
  <c r="K15" i="17"/>
  <c r="U15" i="17" s="1"/>
  <c r="L15" i="17"/>
  <c r="V15" i="17" s="1"/>
  <c r="M15" i="17"/>
  <c r="W15" i="17" s="1"/>
  <c r="I16" i="17"/>
  <c r="S16" i="17" s="1"/>
  <c r="J16" i="17"/>
  <c r="T16" i="17" s="1"/>
  <c r="K16" i="17"/>
  <c r="U16" i="17" s="1"/>
  <c r="L16" i="17"/>
  <c r="V16" i="17" s="1"/>
  <c r="M16" i="17"/>
  <c r="W16" i="17" s="1"/>
  <c r="I17" i="17"/>
  <c r="S17" i="17" s="1"/>
  <c r="J17" i="17"/>
  <c r="T17" i="17" s="1"/>
  <c r="K17" i="17"/>
  <c r="U17" i="17" s="1"/>
  <c r="L17" i="17"/>
  <c r="V17" i="17" s="1"/>
  <c r="M17" i="17"/>
  <c r="W17" i="17" s="1"/>
  <c r="I18" i="17"/>
  <c r="S18" i="17" s="1"/>
  <c r="J18" i="17"/>
  <c r="T18" i="17" s="1"/>
  <c r="K18" i="17"/>
  <c r="U18" i="17" s="1"/>
  <c r="L18" i="17"/>
  <c r="V18" i="17" s="1"/>
  <c r="M18" i="17"/>
  <c r="W18" i="17" s="1"/>
  <c r="I19" i="17"/>
  <c r="S19" i="17" s="1"/>
  <c r="J19" i="17"/>
  <c r="T19" i="17" s="1"/>
  <c r="K19" i="17"/>
  <c r="U19" i="17" s="1"/>
  <c r="L19" i="17"/>
  <c r="V19" i="17" s="1"/>
  <c r="M19" i="17"/>
  <c r="W19" i="17" s="1"/>
  <c r="I20" i="17"/>
  <c r="S20" i="17" s="1"/>
  <c r="J20" i="17"/>
  <c r="T20" i="17" s="1"/>
  <c r="K20" i="17"/>
  <c r="U20" i="17" s="1"/>
  <c r="L20" i="17"/>
  <c r="V20" i="17" s="1"/>
  <c r="M20" i="17"/>
  <c r="W20" i="17" s="1"/>
  <c r="I21" i="17"/>
  <c r="S21" i="17" s="1"/>
  <c r="J21" i="17"/>
  <c r="T21" i="17" s="1"/>
  <c r="K21" i="17"/>
  <c r="U21" i="17" s="1"/>
  <c r="L21" i="17"/>
  <c r="V21" i="17" s="1"/>
  <c r="M21" i="17"/>
  <c r="W21" i="17" s="1"/>
  <c r="I22" i="17"/>
  <c r="S22" i="17" s="1"/>
  <c r="J22" i="17"/>
  <c r="T22" i="17" s="1"/>
  <c r="K22" i="17"/>
  <c r="U22" i="17" s="1"/>
  <c r="L22" i="17"/>
  <c r="V22" i="17" s="1"/>
  <c r="AA22" i="17" s="1"/>
  <c r="AF22" i="17" s="1"/>
  <c r="M22" i="17"/>
  <c r="W22" i="17" s="1"/>
  <c r="I23" i="17"/>
  <c r="S23" i="17" s="1"/>
  <c r="J23" i="17"/>
  <c r="T23" i="17" s="1"/>
  <c r="K23" i="17"/>
  <c r="U23" i="17" s="1"/>
  <c r="L23" i="17"/>
  <c r="V23" i="17" s="1"/>
  <c r="AA23" i="17" s="1"/>
  <c r="AF23" i="17" s="1"/>
  <c r="M23" i="17"/>
  <c r="W23" i="17" s="1"/>
  <c r="I24" i="17"/>
  <c r="S24" i="17" s="1"/>
  <c r="J24" i="17"/>
  <c r="T24" i="17" s="1"/>
  <c r="K24" i="17"/>
  <c r="U24" i="17" s="1"/>
  <c r="L24" i="17"/>
  <c r="V24" i="17" s="1"/>
  <c r="AA24" i="17" s="1"/>
  <c r="AF24" i="17" s="1"/>
  <c r="M24" i="17"/>
  <c r="W24" i="17" s="1"/>
  <c r="I25" i="17"/>
  <c r="S25" i="17" s="1"/>
  <c r="J25" i="17"/>
  <c r="T25" i="17" s="1"/>
  <c r="K25" i="17"/>
  <c r="U25" i="17" s="1"/>
  <c r="L25" i="17"/>
  <c r="V25" i="17" s="1"/>
  <c r="AA25" i="17" s="1"/>
  <c r="AF25" i="17" s="1"/>
  <c r="M25" i="17"/>
  <c r="W25" i="17" s="1"/>
  <c r="I26" i="17"/>
  <c r="S26" i="17" s="1"/>
  <c r="J26" i="17"/>
  <c r="T26" i="17" s="1"/>
  <c r="K26" i="17"/>
  <c r="U26" i="17" s="1"/>
  <c r="L26" i="17"/>
  <c r="V26" i="17" s="1"/>
  <c r="AA26" i="17" s="1"/>
  <c r="AF26" i="17" s="1"/>
  <c r="M26" i="17"/>
  <c r="W26" i="17" s="1"/>
  <c r="I27" i="17"/>
  <c r="S27" i="17" s="1"/>
  <c r="J27" i="17"/>
  <c r="T27" i="17" s="1"/>
  <c r="K27" i="17"/>
  <c r="U27" i="17" s="1"/>
  <c r="L27" i="17"/>
  <c r="V27" i="17" s="1"/>
  <c r="AA27" i="17" s="1"/>
  <c r="AF27" i="17" s="1"/>
  <c r="M27" i="17"/>
  <c r="W27" i="17" s="1"/>
  <c r="I28" i="17"/>
  <c r="S28" i="17" s="1"/>
  <c r="J28" i="17"/>
  <c r="T28" i="17" s="1"/>
  <c r="K28" i="17"/>
  <c r="U28" i="17" s="1"/>
  <c r="L28" i="17"/>
  <c r="V28" i="17" s="1"/>
  <c r="AA28" i="17" s="1"/>
  <c r="AF28" i="17" s="1"/>
  <c r="M28" i="17"/>
  <c r="W28" i="17" s="1"/>
  <c r="I29" i="17"/>
  <c r="S29" i="17" s="1"/>
  <c r="J29" i="17"/>
  <c r="T29" i="17" s="1"/>
  <c r="K29" i="17"/>
  <c r="U29" i="17" s="1"/>
  <c r="L29" i="17"/>
  <c r="V29" i="17" s="1"/>
  <c r="AA29" i="17" s="1"/>
  <c r="AF29" i="17" s="1"/>
  <c r="M29" i="17"/>
  <c r="W29" i="17" s="1"/>
  <c r="I30" i="17"/>
  <c r="S30" i="17" s="1"/>
  <c r="J30" i="17"/>
  <c r="T30" i="17" s="1"/>
  <c r="K30" i="17"/>
  <c r="U30" i="17" s="1"/>
  <c r="L30" i="17"/>
  <c r="V30" i="17" s="1"/>
  <c r="AA30" i="17" s="1"/>
  <c r="AF30" i="17" s="1"/>
  <c r="M30" i="17"/>
  <c r="W30" i="17" s="1"/>
  <c r="I31" i="17"/>
  <c r="S31" i="17" s="1"/>
  <c r="J31" i="17"/>
  <c r="T31" i="17" s="1"/>
  <c r="K31" i="17"/>
  <c r="U31" i="17" s="1"/>
  <c r="L31" i="17"/>
  <c r="V31" i="17" s="1"/>
  <c r="AA31" i="17" s="1"/>
  <c r="AF31" i="17" s="1"/>
  <c r="M31" i="17"/>
  <c r="W31" i="17" s="1"/>
  <c r="I32" i="17"/>
  <c r="S32" i="17" s="1"/>
  <c r="J32" i="17"/>
  <c r="T32" i="17" s="1"/>
  <c r="K32" i="17"/>
  <c r="U32" i="17" s="1"/>
  <c r="L32" i="17"/>
  <c r="V32" i="17" s="1"/>
  <c r="AA32" i="17" s="1"/>
  <c r="AF32" i="17" s="1"/>
  <c r="M32" i="17"/>
  <c r="W32" i="17" s="1"/>
  <c r="I33" i="17"/>
  <c r="S33" i="17" s="1"/>
  <c r="J33" i="17"/>
  <c r="T33" i="17" s="1"/>
  <c r="Y33" i="17" s="1"/>
  <c r="AD33" i="17" s="1"/>
  <c r="K33" i="17"/>
  <c r="U33" i="17" s="1"/>
  <c r="L33" i="17"/>
  <c r="V33" i="17" s="1"/>
  <c r="AA33" i="17" s="1"/>
  <c r="AF33" i="17" s="1"/>
  <c r="M33" i="17"/>
  <c r="W33" i="17" s="1"/>
  <c r="I34" i="17"/>
  <c r="S34" i="17" s="1"/>
  <c r="J34" i="17"/>
  <c r="T34" i="17" s="1"/>
  <c r="Y34" i="17" s="1"/>
  <c r="AD34" i="17" s="1"/>
  <c r="K34" i="17"/>
  <c r="U34" i="17" s="1"/>
  <c r="Z34" i="17" s="1"/>
  <c r="AE34" i="17" s="1"/>
  <c r="L34" i="17"/>
  <c r="V34" i="17" s="1"/>
  <c r="AA34" i="17" s="1"/>
  <c r="AF34" i="17" s="1"/>
  <c r="M34" i="17"/>
  <c r="W34" i="17" s="1"/>
  <c r="I35" i="17"/>
  <c r="S35" i="17" s="1"/>
  <c r="J35" i="17"/>
  <c r="T35" i="17" s="1"/>
  <c r="Y35" i="17" s="1"/>
  <c r="AD35" i="17" s="1"/>
  <c r="K35" i="17"/>
  <c r="U35" i="17" s="1"/>
  <c r="Z35" i="17" s="1"/>
  <c r="AE35" i="17" s="1"/>
  <c r="L35" i="17"/>
  <c r="V35" i="17" s="1"/>
  <c r="AA35" i="17" s="1"/>
  <c r="AF35" i="17" s="1"/>
  <c r="M35" i="17"/>
  <c r="W35" i="17" s="1"/>
  <c r="I36" i="17"/>
  <c r="S36" i="17" s="1"/>
  <c r="J36" i="17"/>
  <c r="T36" i="17" s="1"/>
  <c r="Y36" i="17" s="1"/>
  <c r="AD36" i="17" s="1"/>
  <c r="K36" i="17"/>
  <c r="U36" i="17" s="1"/>
  <c r="Z36" i="17" s="1"/>
  <c r="AE36" i="17" s="1"/>
  <c r="L36" i="17"/>
  <c r="V36" i="17" s="1"/>
  <c r="AA36" i="17" s="1"/>
  <c r="AF36" i="17" s="1"/>
  <c r="M36" i="17"/>
  <c r="W36" i="17" s="1"/>
  <c r="I37" i="17"/>
  <c r="S37" i="17" s="1"/>
  <c r="J37" i="17"/>
  <c r="T37" i="17" s="1"/>
  <c r="Y37" i="17" s="1"/>
  <c r="AD37" i="17" s="1"/>
  <c r="K37" i="17"/>
  <c r="U37" i="17" s="1"/>
  <c r="Z37" i="17" s="1"/>
  <c r="AE37" i="17" s="1"/>
  <c r="L37" i="17"/>
  <c r="V37" i="17" s="1"/>
  <c r="AA37" i="17" s="1"/>
  <c r="AF37" i="17" s="1"/>
  <c r="M37" i="17"/>
  <c r="W37" i="17" s="1"/>
  <c r="I38" i="17"/>
  <c r="S38" i="17" s="1"/>
  <c r="J38" i="17"/>
  <c r="T38" i="17" s="1"/>
  <c r="Y38" i="17" s="1"/>
  <c r="AD38" i="17" s="1"/>
  <c r="K38" i="17"/>
  <c r="U38" i="17" s="1"/>
  <c r="Z38" i="17" s="1"/>
  <c r="AE38" i="17" s="1"/>
  <c r="L38" i="17"/>
  <c r="V38" i="17" s="1"/>
  <c r="AA38" i="17" s="1"/>
  <c r="AF38" i="17" s="1"/>
  <c r="M38" i="17"/>
  <c r="W38" i="17" s="1"/>
  <c r="I39" i="17"/>
  <c r="S39" i="17" s="1"/>
  <c r="J39" i="17"/>
  <c r="T39" i="17" s="1"/>
  <c r="Y39" i="17" s="1"/>
  <c r="AD39" i="17" s="1"/>
  <c r="K39" i="17"/>
  <c r="U39" i="17" s="1"/>
  <c r="Z39" i="17" s="1"/>
  <c r="AE39" i="17" s="1"/>
  <c r="L39" i="17"/>
  <c r="V39" i="17" s="1"/>
  <c r="AA39" i="17" s="1"/>
  <c r="AF39" i="17" s="1"/>
  <c r="M39" i="17"/>
  <c r="W39" i="17" s="1"/>
  <c r="I40" i="17"/>
  <c r="S40" i="17" s="1"/>
  <c r="J40" i="17"/>
  <c r="T40" i="17" s="1"/>
  <c r="Y40" i="17" s="1"/>
  <c r="AD40" i="17" s="1"/>
  <c r="K40" i="17"/>
  <c r="U40" i="17" s="1"/>
  <c r="Z40" i="17" s="1"/>
  <c r="AE40" i="17" s="1"/>
  <c r="L40" i="17"/>
  <c r="V40" i="17" s="1"/>
  <c r="AA40" i="17" s="1"/>
  <c r="AF40" i="17" s="1"/>
  <c r="M40" i="17"/>
  <c r="W40" i="17" s="1"/>
  <c r="I41" i="17"/>
  <c r="S41" i="17" s="1"/>
  <c r="J41" i="17"/>
  <c r="T41" i="17" s="1"/>
  <c r="Y41" i="17" s="1"/>
  <c r="AD41" i="17" s="1"/>
  <c r="K41" i="17"/>
  <c r="U41" i="17" s="1"/>
  <c r="Z41" i="17" s="1"/>
  <c r="AE41" i="17" s="1"/>
  <c r="L41" i="17"/>
  <c r="V41" i="17" s="1"/>
  <c r="AA41" i="17" s="1"/>
  <c r="AF41" i="17" s="1"/>
  <c r="M41" i="17"/>
  <c r="W41" i="17" s="1"/>
  <c r="I42" i="17"/>
  <c r="S42" i="17" s="1"/>
  <c r="J42" i="17"/>
  <c r="T42" i="17" s="1"/>
  <c r="Y42" i="17" s="1"/>
  <c r="AD42" i="17" s="1"/>
  <c r="K42" i="17"/>
  <c r="U42" i="17" s="1"/>
  <c r="Z42" i="17" s="1"/>
  <c r="AE42" i="17" s="1"/>
  <c r="L42" i="17"/>
  <c r="V42" i="17" s="1"/>
  <c r="AA42" i="17" s="1"/>
  <c r="AF42" i="17" s="1"/>
  <c r="M42" i="17"/>
  <c r="W42" i="17" s="1"/>
  <c r="I43" i="17"/>
  <c r="S43" i="17" s="1"/>
  <c r="J43" i="17"/>
  <c r="T43" i="17" s="1"/>
  <c r="Y43" i="17" s="1"/>
  <c r="AD43" i="17" s="1"/>
  <c r="K43" i="17"/>
  <c r="U43" i="17" s="1"/>
  <c r="Z43" i="17" s="1"/>
  <c r="AE43" i="17" s="1"/>
  <c r="L43" i="17"/>
  <c r="V43" i="17" s="1"/>
  <c r="AA43" i="17" s="1"/>
  <c r="AF43" i="17" s="1"/>
  <c r="M43" i="17"/>
  <c r="W43" i="17" s="1"/>
  <c r="I44" i="17"/>
  <c r="S44" i="17" s="1"/>
  <c r="J44" i="17"/>
  <c r="T44" i="17" s="1"/>
  <c r="Y44" i="17" s="1"/>
  <c r="AD44" i="17" s="1"/>
  <c r="K44" i="17"/>
  <c r="U44" i="17" s="1"/>
  <c r="Z44" i="17" s="1"/>
  <c r="AE44" i="17" s="1"/>
  <c r="L44" i="17"/>
  <c r="V44" i="17" s="1"/>
  <c r="AA44" i="17" s="1"/>
  <c r="AF44" i="17" s="1"/>
  <c r="M44" i="17"/>
  <c r="W44" i="17" s="1"/>
  <c r="I45" i="17"/>
  <c r="S45" i="17" s="1"/>
  <c r="J45" i="17"/>
  <c r="T45" i="17" s="1"/>
  <c r="Y45" i="17" s="1"/>
  <c r="AD45" i="17" s="1"/>
  <c r="K45" i="17"/>
  <c r="U45" i="17" s="1"/>
  <c r="Z45" i="17" s="1"/>
  <c r="AE45" i="17" s="1"/>
  <c r="L45" i="17"/>
  <c r="V45" i="17" s="1"/>
  <c r="AA45" i="17" s="1"/>
  <c r="AF45" i="17" s="1"/>
  <c r="M45" i="17"/>
  <c r="W45" i="17" s="1"/>
  <c r="I46" i="17"/>
  <c r="S46" i="17" s="1"/>
  <c r="J46" i="17"/>
  <c r="T46" i="17" s="1"/>
  <c r="Y46" i="17" s="1"/>
  <c r="AD46" i="17" s="1"/>
  <c r="K46" i="17"/>
  <c r="U46" i="17" s="1"/>
  <c r="Z46" i="17" s="1"/>
  <c r="AE46" i="17" s="1"/>
  <c r="L46" i="17"/>
  <c r="V46" i="17" s="1"/>
  <c r="AA46" i="17" s="1"/>
  <c r="AF46" i="17" s="1"/>
  <c r="M46" i="17"/>
  <c r="W46" i="17" s="1"/>
  <c r="I47" i="17"/>
  <c r="S47" i="17" s="1"/>
  <c r="J47" i="17"/>
  <c r="T47" i="17" s="1"/>
  <c r="Y47" i="17" s="1"/>
  <c r="AD47" i="17" s="1"/>
  <c r="K47" i="17"/>
  <c r="U47" i="17" s="1"/>
  <c r="Z47" i="17" s="1"/>
  <c r="AE47" i="17" s="1"/>
  <c r="L47" i="17"/>
  <c r="V47" i="17" s="1"/>
  <c r="AA47" i="17" s="1"/>
  <c r="AF47" i="17" s="1"/>
  <c r="M47" i="17"/>
  <c r="W47" i="17" s="1"/>
  <c r="I48" i="17"/>
  <c r="S48" i="17" s="1"/>
  <c r="J48" i="17"/>
  <c r="T48" i="17" s="1"/>
  <c r="Y48" i="17" s="1"/>
  <c r="AD48" i="17" s="1"/>
  <c r="K48" i="17"/>
  <c r="U48" i="17" s="1"/>
  <c r="Z48" i="17" s="1"/>
  <c r="AE48" i="17" s="1"/>
  <c r="L48" i="17"/>
  <c r="V48" i="17" s="1"/>
  <c r="AA48" i="17" s="1"/>
  <c r="AF48" i="17" s="1"/>
  <c r="M48" i="17"/>
  <c r="W48" i="17" s="1"/>
  <c r="J9" i="17"/>
  <c r="T9" i="17" s="1"/>
  <c r="K9" i="17"/>
  <c r="U9" i="17" s="1"/>
  <c r="L9" i="17"/>
  <c r="V9" i="17" s="1"/>
  <c r="AA3" i="17" s="1"/>
  <c r="M9" i="17"/>
  <c r="W9" i="17" s="1"/>
  <c r="AB3" i="17" s="1"/>
  <c r="I9" i="17"/>
  <c r="S9" i="17" s="1"/>
  <c r="BA19" i="17"/>
  <c r="BA21" i="17"/>
  <c r="Z4" i="17" l="1"/>
  <c r="Z5" i="17"/>
  <c r="C10" i="19"/>
  <c r="D10" i="19" s="1"/>
  <c r="E10" i="19" s="1"/>
  <c r="C47" i="19"/>
  <c r="D47" i="19" s="1"/>
  <c r="C31" i="19"/>
  <c r="D31" i="19" s="1"/>
  <c r="C15" i="19"/>
  <c r="D15" i="19" s="1"/>
  <c r="E15" i="19" s="1"/>
  <c r="C41" i="19"/>
  <c r="D41" i="19" s="1"/>
  <c r="C25" i="19"/>
  <c r="D25" i="19" s="1"/>
  <c r="C9" i="19"/>
  <c r="D9" i="19" s="1"/>
  <c r="E9" i="19" s="1"/>
  <c r="C36" i="19"/>
  <c r="D36" i="19" s="1"/>
  <c r="C20" i="19"/>
  <c r="D20" i="19" s="1"/>
  <c r="E20" i="19" s="1"/>
  <c r="C42" i="19"/>
  <c r="D42" i="19" s="1"/>
  <c r="C26" i="19"/>
  <c r="D26" i="19" s="1"/>
  <c r="C16" i="19"/>
  <c r="D16" i="19" s="1"/>
  <c r="E16" i="19" s="1"/>
  <c r="C29" i="19"/>
  <c r="D29" i="19" s="1"/>
  <c r="C24" i="19"/>
  <c r="D24" i="19" s="1"/>
  <c r="C30" i="19"/>
  <c r="D30" i="19" s="1"/>
  <c r="C43" i="19"/>
  <c r="D43" i="19" s="1"/>
  <c r="C27" i="19"/>
  <c r="D27" i="19" s="1"/>
  <c r="C11" i="19"/>
  <c r="C37" i="19"/>
  <c r="D37" i="19" s="1"/>
  <c r="C21" i="19"/>
  <c r="D21" i="19" s="1"/>
  <c r="E21" i="19" s="1"/>
  <c r="C48" i="19"/>
  <c r="D48" i="19" s="1"/>
  <c r="C32" i="19"/>
  <c r="D32" i="19" s="1"/>
  <c r="C38" i="19"/>
  <c r="D38" i="19" s="1"/>
  <c r="C22" i="19"/>
  <c r="D22" i="19" s="1"/>
  <c r="C39" i="19"/>
  <c r="D39" i="19" s="1"/>
  <c r="C23" i="19"/>
  <c r="D23" i="19" s="1"/>
  <c r="C49" i="19"/>
  <c r="D49" i="19" s="1"/>
  <c r="C33" i="19"/>
  <c r="D33" i="19" s="1"/>
  <c r="C17" i="19"/>
  <c r="D17" i="19" s="1"/>
  <c r="E17" i="19" s="1"/>
  <c r="C44" i="19"/>
  <c r="D44" i="19" s="1"/>
  <c r="C28" i="19"/>
  <c r="D28" i="19" s="1"/>
  <c r="C12" i="19"/>
  <c r="D12" i="19" s="1"/>
  <c r="E12" i="19" s="1"/>
  <c r="C34" i="19"/>
  <c r="D34" i="19" s="1"/>
  <c r="C18" i="19"/>
  <c r="D18" i="19" s="1"/>
  <c r="E18" i="19" s="1"/>
  <c r="C35" i="19"/>
  <c r="D35" i="19" s="1"/>
  <c r="C19" i="19"/>
  <c r="D19" i="19" s="1"/>
  <c r="E19" i="19" s="1"/>
  <c r="C45" i="19"/>
  <c r="D45" i="19" s="1"/>
  <c r="C13" i="19"/>
  <c r="D13" i="19" s="1"/>
  <c r="E13" i="19" s="1"/>
  <c r="C40" i="19"/>
  <c r="D40" i="19" s="1"/>
  <c r="C46" i="19"/>
  <c r="D46" i="19" s="1"/>
  <c r="C14" i="19"/>
  <c r="D14" i="19" s="1"/>
  <c r="E14" i="19" s="1"/>
  <c r="AZ24" i="17"/>
  <c r="AA5" i="17"/>
  <c r="AA4" i="17"/>
  <c r="X5" i="17"/>
  <c r="Y4" i="17"/>
  <c r="Z1" i="17" s="1"/>
  <c r="Y5" i="17"/>
  <c r="Z2" i="17" s="1"/>
  <c r="AB4" i="17"/>
  <c r="AB5" i="17"/>
  <c r="Z3" i="17"/>
  <c r="Y3" i="17"/>
  <c r="P8" i="21" s="1"/>
  <c r="BB22" i="17"/>
  <c r="BA22" i="17"/>
  <c r="BA23" i="17" s="1"/>
  <c r="D29" i="16" s="1"/>
  <c r="AL7" i="17"/>
  <c r="AJ9" i="17" s="1" a="1"/>
  <c r="AJ12" i="17" s="1"/>
  <c r="S49" i="17"/>
  <c r="X4" i="17" s="1"/>
  <c r="R25" i="17"/>
  <c r="P19" i="17"/>
  <c r="O28" i="17"/>
  <c r="O16" i="17"/>
  <c r="N45" i="17"/>
  <c r="P33" i="17"/>
  <c r="R21" i="17"/>
  <c r="N13" i="17"/>
  <c r="R44" i="17"/>
  <c r="O29" i="17"/>
  <c r="O24" i="17"/>
  <c r="Q21" i="17"/>
  <c r="R37" i="17"/>
  <c r="N37" i="17"/>
  <c r="Q18" i="17"/>
  <c r="P15" i="17"/>
  <c r="O12" i="17"/>
  <c r="N29" i="17"/>
  <c r="P27" i="17"/>
  <c r="N25" i="17"/>
  <c r="P23" i="17"/>
  <c r="N21" i="17"/>
  <c r="R17" i="17"/>
  <c r="Q14" i="17"/>
  <c r="P11" i="17"/>
  <c r="R9" i="17"/>
  <c r="R41" i="17"/>
  <c r="N41" i="17"/>
  <c r="R33" i="17"/>
  <c r="N33" i="17"/>
  <c r="P31" i="17"/>
  <c r="R29" i="17"/>
  <c r="O20" i="17"/>
  <c r="N17" i="17"/>
  <c r="R13" i="17"/>
  <c r="Q10" i="17"/>
  <c r="Q9" i="17"/>
  <c r="N48" i="17"/>
  <c r="N44" i="17"/>
  <c r="R40" i="17"/>
  <c r="N40" i="17"/>
  <c r="R36" i="17"/>
  <c r="N36" i="17"/>
  <c r="R32" i="17"/>
  <c r="N32" i="17"/>
  <c r="P30" i="17"/>
  <c r="R28" i="17"/>
  <c r="N28" i="17"/>
  <c r="O27" i="17"/>
  <c r="P26" i="17"/>
  <c r="R24" i="17"/>
  <c r="N24" i="17"/>
  <c r="O23" i="17"/>
  <c r="P22" i="17"/>
  <c r="R20" i="17"/>
  <c r="N20" i="17"/>
  <c r="O19" i="17"/>
  <c r="P18" i="17"/>
  <c r="Q17" i="17"/>
  <c r="R16" i="17"/>
  <c r="N16" i="17"/>
  <c r="O15" i="17"/>
  <c r="P14" i="17"/>
  <c r="Q13" i="17"/>
  <c r="R12" i="17"/>
  <c r="N12" i="17"/>
  <c r="O11" i="17"/>
  <c r="P10" i="17"/>
  <c r="P9" i="17"/>
  <c r="N47" i="17"/>
  <c r="R43" i="17"/>
  <c r="N43" i="17"/>
  <c r="R39" i="17"/>
  <c r="N39" i="17"/>
  <c r="R35" i="17"/>
  <c r="N35" i="17"/>
  <c r="R31" i="17"/>
  <c r="N31" i="17"/>
  <c r="P29" i="17"/>
  <c r="R27" i="17"/>
  <c r="N27" i="17"/>
  <c r="O26" i="17"/>
  <c r="P25" i="17"/>
  <c r="R23" i="17"/>
  <c r="N23" i="17"/>
  <c r="O22" i="17"/>
  <c r="P21" i="17"/>
  <c r="Q20" i="17"/>
  <c r="R19" i="17"/>
  <c r="N19" i="17"/>
  <c r="O18" i="17"/>
  <c r="P17" i="17"/>
  <c r="Q16" i="17"/>
  <c r="R15" i="17"/>
  <c r="N15" i="17"/>
  <c r="O14" i="17"/>
  <c r="P13" i="17"/>
  <c r="Q12" i="17"/>
  <c r="R11" i="17"/>
  <c r="N11" i="17"/>
  <c r="O10" i="17"/>
  <c r="N9" i="17"/>
  <c r="O9" i="17"/>
  <c r="N46" i="17"/>
  <c r="R42" i="17"/>
  <c r="N42" i="17"/>
  <c r="R38" i="17"/>
  <c r="N38" i="17"/>
  <c r="R34" i="17"/>
  <c r="N34" i="17"/>
  <c r="P32" i="17"/>
  <c r="R30" i="17"/>
  <c r="N30" i="17"/>
  <c r="P28" i="17"/>
  <c r="R26" i="17"/>
  <c r="N26" i="17"/>
  <c r="O25" i="17"/>
  <c r="P24" i="17"/>
  <c r="R22" i="17"/>
  <c r="N22" i="17"/>
  <c r="O21" i="17"/>
  <c r="P20" i="17"/>
  <c r="Q19" i="17"/>
  <c r="R18" i="17"/>
  <c r="N18" i="17"/>
  <c r="O17" i="17"/>
  <c r="P16" i="17"/>
  <c r="Q15" i="17"/>
  <c r="R14" i="17"/>
  <c r="N14" i="17"/>
  <c r="O13" i="17"/>
  <c r="P12" i="17"/>
  <c r="Q11" i="17"/>
  <c r="R10" i="17"/>
  <c r="N10" i="17"/>
  <c r="AY4" i="17"/>
  <c r="AB6" i="17"/>
  <c r="AA6" i="17"/>
  <c r="Z6" i="17"/>
  <c r="Z33" i="17"/>
  <c r="AE33" i="17" s="1"/>
  <c r="Y6" i="17"/>
  <c r="AA2" i="17" s="1"/>
  <c r="AB2" i="17" s="1"/>
  <c r="AB45" i="17"/>
  <c r="AG45" i="17" s="1"/>
  <c r="E8" i="16"/>
  <c r="E6" i="16"/>
  <c r="BB19" i="17"/>
  <c r="BB20" i="17"/>
  <c r="BB21" i="17"/>
  <c r="E5" i="16"/>
  <c r="E15" i="16"/>
  <c r="E7" i="16"/>
  <c r="D11" i="19" l="1"/>
  <c r="E11" i="19" s="1"/>
  <c r="AZ25" i="17" s="1" a="1"/>
  <c r="AZ25" i="17" s="1"/>
  <c r="F9" i="19" s="1"/>
  <c r="E5" i="19"/>
  <c r="P6" i="17"/>
  <c r="X3" i="17"/>
  <c r="AZ30" i="17"/>
  <c r="AZ46" i="17"/>
  <c r="AZ62" i="17"/>
  <c r="AZ78" i="17"/>
  <c r="AZ94" i="17"/>
  <c r="AZ44" i="17"/>
  <c r="AZ76" i="17"/>
  <c r="AZ41" i="17"/>
  <c r="AZ73" i="17"/>
  <c r="AZ31" i="17"/>
  <c r="AZ47" i="17"/>
  <c r="AZ63" i="17"/>
  <c r="AZ79" i="17"/>
  <c r="AZ36" i="17"/>
  <c r="AZ72" i="17"/>
  <c r="AZ37" i="17"/>
  <c r="AZ69" i="17"/>
  <c r="AZ29" i="17"/>
  <c r="AZ34" i="17"/>
  <c r="AZ50" i="17"/>
  <c r="AZ66" i="17"/>
  <c r="AZ82" i="17"/>
  <c r="AZ87" i="17"/>
  <c r="AZ52" i="17"/>
  <c r="AZ84" i="17"/>
  <c r="AZ49" i="17"/>
  <c r="AZ81" i="17"/>
  <c r="AZ35" i="17"/>
  <c r="AZ51" i="17"/>
  <c r="AZ67" i="17"/>
  <c r="AZ83" i="17"/>
  <c r="AZ48" i="17"/>
  <c r="AZ80" i="17"/>
  <c r="AZ45" i="17"/>
  <c r="AZ77" i="17"/>
  <c r="AA1" i="17"/>
  <c r="B1" i="20" s="1"/>
  <c r="AZ38" i="17"/>
  <c r="AZ54" i="17"/>
  <c r="AZ70" i="17"/>
  <c r="AZ86" i="17"/>
  <c r="AZ32" i="17"/>
  <c r="AZ60" i="17"/>
  <c r="AZ92" i="17"/>
  <c r="AZ57" i="17"/>
  <c r="AZ89" i="17"/>
  <c r="AZ39" i="17"/>
  <c r="AZ55" i="17"/>
  <c r="AZ71" i="17"/>
  <c r="AZ91" i="17"/>
  <c r="AZ56" i="17"/>
  <c r="AZ88" i="17"/>
  <c r="AZ53" i="17"/>
  <c r="AZ85" i="17"/>
  <c r="AZ42" i="17"/>
  <c r="AZ58" i="17"/>
  <c r="AZ74" i="17"/>
  <c r="AZ90" i="17"/>
  <c r="AZ40" i="17"/>
  <c r="AZ68" i="17"/>
  <c r="AZ33" i="17"/>
  <c r="AZ65" i="17"/>
  <c r="AZ97" i="17"/>
  <c r="AZ43" i="17"/>
  <c r="AZ59" i="17"/>
  <c r="AZ75" i="17"/>
  <c r="AZ95" i="17"/>
  <c r="AZ64" i="17"/>
  <c r="AZ96" i="17"/>
  <c r="AZ61" i="17"/>
  <c r="AZ93" i="17"/>
  <c r="Q6" i="17"/>
  <c r="O6" i="17"/>
  <c r="P4" i="17" s="1"/>
  <c r="AM5" i="17"/>
  <c r="N6" i="17"/>
  <c r="R6" i="17"/>
  <c r="AZ26" i="17"/>
  <c r="AZ28" i="17" s="1"/>
  <c r="AZ27" i="17" s="1"/>
  <c r="BA27" i="17" s="1"/>
  <c r="E6" i="19" s="1"/>
  <c r="AJ5" i="17"/>
  <c r="BB23" i="17"/>
  <c r="E29" i="16" s="1"/>
  <c r="AJ46" i="17"/>
  <c r="B43" i="21" s="1"/>
  <c r="AJ25" i="17"/>
  <c r="B22" i="21" s="1"/>
  <c r="AJ43" i="17"/>
  <c r="B40" i="21" s="1"/>
  <c r="AJ18" i="17"/>
  <c r="B15" i="21" s="1"/>
  <c r="AJ40" i="17"/>
  <c r="B37" i="21" s="1"/>
  <c r="AJ39" i="17"/>
  <c r="B36" i="21" s="1"/>
  <c r="AJ14" i="17"/>
  <c r="B11" i="21" s="1"/>
  <c r="AJ36" i="17"/>
  <c r="B33" i="21" s="1"/>
  <c r="AJ11" i="17"/>
  <c r="B8" i="21" s="1"/>
  <c r="AJ29" i="17"/>
  <c r="B26" i="21" s="1"/>
  <c r="AJ27" i="17"/>
  <c r="B24" i="21" s="1"/>
  <c r="AJ34" i="17"/>
  <c r="B31" i="21" s="1"/>
  <c r="AJ45" i="17"/>
  <c r="B42" i="21" s="1"/>
  <c r="AJ13" i="17"/>
  <c r="B10" i="21" s="1"/>
  <c r="AJ24" i="17"/>
  <c r="B21" i="21" s="1"/>
  <c r="AJ23" i="17"/>
  <c r="B20" i="21" s="1"/>
  <c r="AJ30" i="17"/>
  <c r="B27" i="21" s="1"/>
  <c r="AJ41" i="17"/>
  <c r="B38" i="21" s="1"/>
  <c r="AJ9" i="17"/>
  <c r="B6" i="21" s="1"/>
  <c r="AJ20" i="17"/>
  <c r="B17" i="21" s="1"/>
  <c r="AI9" i="17" a="1"/>
  <c r="AI24" i="17" s="1"/>
  <c r="AL24" i="17" s="1"/>
  <c r="AM24" i="17" s="1"/>
  <c r="AJ35" i="17"/>
  <c r="B32" i="21" s="1"/>
  <c r="AJ19" i="17"/>
  <c r="B16" i="21" s="1"/>
  <c r="AJ42" i="17"/>
  <c r="B39" i="21" s="1"/>
  <c r="AJ26" i="17"/>
  <c r="B23" i="21" s="1"/>
  <c r="AJ10" i="17"/>
  <c r="B7" i="21" s="1"/>
  <c r="AJ37" i="17"/>
  <c r="B34" i="21" s="1"/>
  <c r="AJ21" i="17"/>
  <c r="B18" i="21" s="1"/>
  <c r="AJ48" i="17"/>
  <c r="AJ32" i="17"/>
  <c r="B29" i="21" s="1"/>
  <c r="AJ16" i="17"/>
  <c r="B13" i="21" s="1"/>
  <c r="AJ47" i="17"/>
  <c r="AJ31" i="17"/>
  <c r="B28" i="21" s="1"/>
  <c r="AJ15" i="17"/>
  <c r="B12" i="21" s="1"/>
  <c r="AJ38" i="17"/>
  <c r="B35" i="21" s="1"/>
  <c r="AJ22" i="17"/>
  <c r="B19" i="21" s="1"/>
  <c r="AJ49" i="17"/>
  <c r="AJ33" i="17"/>
  <c r="B30" i="21" s="1"/>
  <c r="AJ17" i="17"/>
  <c r="B14" i="21" s="1"/>
  <c r="AJ44" i="17"/>
  <c r="B41" i="21" s="1"/>
  <c r="AJ28" i="17"/>
  <c r="B25" i="21" s="1"/>
  <c r="AA21" i="17"/>
  <c r="AF21" i="17" s="1"/>
  <c r="X49" i="17"/>
  <c r="AC49" i="17" s="1"/>
  <c r="Z30" i="17"/>
  <c r="AE30" i="17" s="1"/>
  <c r="AJ6" i="17"/>
  <c r="Z31" i="17"/>
  <c r="AE31" i="17" s="1"/>
  <c r="Z29" i="17"/>
  <c r="AE29" i="17" s="1"/>
  <c r="Z32" i="17"/>
  <c r="AE32" i="17" s="1"/>
  <c r="AB44" i="17"/>
  <c r="AG44" i="17" s="1"/>
  <c r="AB48" i="17"/>
  <c r="AG48" i="17" s="1"/>
  <c r="AB47" i="17"/>
  <c r="AG47" i="17" s="1"/>
  <c r="AB46" i="17"/>
  <c r="AG46" i="17" s="1"/>
  <c r="AA11" i="17"/>
  <c r="AF11" i="17" s="1"/>
  <c r="AA16" i="17"/>
  <c r="AF16" i="17" s="1"/>
  <c r="AA19" i="17"/>
  <c r="AF19" i="17" s="1"/>
  <c r="AA20" i="17"/>
  <c r="AF20" i="17" s="1"/>
  <c r="AA9" i="17"/>
  <c r="AF9" i="17" s="1"/>
  <c r="AB43" i="17"/>
  <c r="AG43" i="17" s="1"/>
  <c r="B9" i="21"/>
  <c r="AB26" i="17"/>
  <c r="AG26" i="17" s="1"/>
  <c r="AB34" i="17"/>
  <c r="AG34" i="17" s="1"/>
  <c r="AB15" i="17"/>
  <c r="AG15" i="17" s="1"/>
  <c r="Y25" i="17"/>
  <c r="AD25" i="17" s="1"/>
  <c r="AB18" i="17"/>
  <c r="AG18" i="17" s="1"/>
  <c r="AB38" i="17"/>
  <c r="AG38" i="17" s="1"/>
  <c r="Y30" i="17"/>
  <c r="AD30" i="17" s="1"/>
  <c r="AB37" i="17"/>
  <c r="AG37" i="17" s="1"/>
  <c r="AA10" i="17"/>
  <c r="AF10" i="17" s="1"/>
  <c r="AB14" i="17"/>
  <c r="AG14" i="17" s="1"/>
  <c r="Y21" i="17"/>
  <c r="AD21" i="17" s="1"/>
  <c r="Y29" i="17"/>
  <c r="AD29" i="17" s="1"/>
  <c r="AB42" i="17"/>
  <c r="AG42" i="17" s="1"/>
  <c r="AB11" i="17"/>
  <c r="AG11" i="17" s="1"/>
  <c r="Y18" i="17"/>
  <c r="AD18" i="17" s="1"/>
  <c r="AB31" i="17"/>
  <c r="AG31" i="17" s="1"/>
  <c r="AB35" i="17"/>
  <c r="AG35" i="17" s="1"/>
  <c r="X39" i="17"/>
  <c r="AC39" i="17" s="1"/>
  <c r="X6" i="17"/>
  <c r="AA18" i="17"/>
  <c r="AF18" i="17" s="1"/>
  <c r="AA15" i="17"/>
  <c r="AF15" i="17" s="1"/>
  <c r="AB22" i="17"/>
  <c r="AG22" i="17" s="1"/>
  <c r="AB30" i="17"/>
  <c r="AG30" i="17" s="1"/>
  <c r="AA17" i="17"/>
  <c r="AF17" i="17" s="1"/>
  <c r="AA12" i="17"/>
  <c r="AF12" i="17" s="1"/>
  <c r="AB19" i="17"/>
  <c r="AG19" i="17" s="1"/>
  <c r="AA14" i="17"/>
  <c r="AF14" i="17" s="1"/>
  <c r="AA13" i="17"/>
  <c r="AF13" i="17" s="1"/>
  <c r="X18" i="17"/>
  <c r="AC18" i="17" s="1"/>
  <c r="Z10" i="17"/>
  <c r="AE10" i="17" s="1"/>
  <c r="Z18" i="17"/>
  <c r="AE18" i="17" s="1"/>
  <c r="Z26" i="17"/>
  <c r="AE26" i="17" s="1"/>
  <c r="Z15" i="17"/>
  <c r="AE15" i="17" s="1"/>
  <c r="Z23" i="17"/>
  <c r="AE23" i="17" s="1"/>
  <c r="Z14" i="17"/>
  <c r="AE14" i="17" s="1"/>
  <c r="Z22" i="17"/>
  <c r="AE22" i="17" s="1"/>
  <c r="Z11" i="17"/>
  <c r="AE11" i="17" s="1"/>
  <c r="Z19" i="17"/>
  <c r="AE19" i="17" s="1"/>
  <c r="Z27" i="17"/>
  <c r="AE27" i="17" s="1"/>
  <c r="X15" i="17"/>
  <c r="AC15" i="17" s="1"/>
  <c r="Z21" i="17"/>
  <c r="AE21" i="17" s="1"/>
  <c r="Z25" i="17"/>
  <c r="AE25" i="17" s="1"/>
  <c r="Y15" i="17"/>
  <c r="AD15" i="17" s="1"/>
  <c r="Y23" i="17"/>
  <c r="AD23" i="17" s="1"/>
  <c r="Y31" i="17"/>
  <c r="AD31" i="17" s="1"/>
  <c r="Y12" i="17"/>
  <c r="AD12" i="17" s="1"/>
  <c r="Y20" i="17"/>
  <c r="AD20" i="17" s="1"/>
  <c r="Y28" i="17"/>
  <c r="AD28" i="17" s="1"/>
  <c r="Y11" i="17"/>
  <c r="AD11" i="17" s="1"/>
  <c r="Y19" i="17"/>
  <c r="AD19" i="17" s="1"/>
  <c r="Y27" i="17"/>
  <c r="AD27" i="17" s="1"/>
  <c r="Y9" i="17"/>
  <c r="AD9" i="17" s="1"/>
  <c r="Y16" i="17"/>
  <c r="AD16" i="17" s="1"/>
  <c r="Y24" i="17"/>
  <c r="AD24" i="17" s="1"/>
  <c r="Y32" i="17"/>
  <c r="AD32" i="17" s="1"/>
  <c r="Z12" i="17"/>
  <c r="AE12" i="17" s="1"/>
  <c r="X22" i="17"/>
  <c r="AC22" i="17" s="1"/>
  <c r="X26" i="17"/>
  <c r="AC26" i="17" s="1"/>
  <c r="X30" i="17"/>
  <c r="AC30" i="17" s="1"/>
  <c r="X38" i="17"/>
  <c r="AC38" i="17" s="1"/>
  <c r="X46" i="17"/>
  <c r="AC46" i="17" s="1"/>
  <c r="X19" i="17"/>
  <c r="AC19" i="17" s="1"/>
  <c r="Y22" i="17"/>
  <c r="AD22" i="17" s="1"/>
  <c r="Y26" i="17"/>
  <c r="AD26" i="17" s="1"/>
  <c r="X31" i="17"/>
  <c r="AC31" i="17" s="1"/>
  <c r="X12" i="17"/>
  <c r="AC12" i="17" s="1"/>
  <c r="X20" i="17"/>
  <c r="AC20" i="17" s="1"/>
  <c r="X28" i="17"/>
  <c r="AC28" i="17" s="1"/>
  <c r="X40" i="17"/>
  <c r="AC40" i="17" s="1"/>
  <c r="X17" i="17"/>
  <c r="AC17" i="17" s="1"/>
  <c r="X25" i="17"/>
  <c r="AC25" i="17" s="1"/>
  <c r="X33" i="17"/>
  <c r="AC33" i="17" s="1"/>
  <c r="X36" i="17"/>
  <c r="AC36" i="17" s="1"/>
  <c r="X37" i="17"/>
  <c r="AC37" i="17" s="1"/>
  <c r="X9" i="17"/>
  <c r="AC9" i="17" s="1"/>
  <c r="X16" i="17"/>
  <c r="AC16" i="17" s="1"/>
  <c r="X24" i="17"/>
  <c r="AC24" i="17" s="1"/>
  <c r="X32" i="17"/>
  <c r="AC32" i="17" s="1"/>
  <c r="X48" i="17"/>
  <c r="AC48" i="17" s="1"/>
  <c r="X13" i="17"/>
  <c r="AC13" i="17" s="1"/>
  <c r="X21" i="17"/>
  <c r="AC21" i="17" s="1"/>
  <c r="X29" i="17"/>
  <c r="AC29" i="17" s="1"/>
  <c r="X43" i="17"/>
  <c r="AC43" i="17" s="1"/>
  <c r="X44" i="17"/>
  <c r="AC44" i="17" s="1"/>
  <c r="X45" i="17"/>
  <c r="AC45" i="17" s="1"/>
  <c r="X10" i="17"/>
  <c r="AC10" i="17" s="1"/>
  <c r="Y13" i="17"/>
  <c r="AD13" i="17" s="1"/>
  <c r="Z16" i="17"/>
  <c r="AE16" i="17" s="1"/>
  <c r="Z9" i="17"/>
  <c r="AE9" i="17" s="1"/>
  <c r="Y10" i="17"/>
  <c r="AD10" i="17" s="1"/>
  <c r="Z13" i="17"/>
  <c r="AE13" i="17" s="1"/>
  <c r="X23" i="17"/>
  <c r="AC23" i="17" s="1"/>
  <c r="X27" i="17"/>
  <c r="AC27" i="17" s="1"/>
  <c r="AB16" i="17"/>
  <c r="AG16" i="17" s="1"/>
  <c r="AB24" i="17"/>
  <c r="AG24" i="17" s="1"/>
  <c r="AB32" i="17"/>
  <c r="AG32" i="17" s="1"/>
  <c r="AB36" i="17"/>
  <c r="AG36" i="17" s="1"/>
  <c r="AB9" i="17"/>
  <c r="AG9" i="17" s="1"/>
  <c r="AB13" i="17"/>
  <c r="AG13" i="17" s="1"/>
  <c r="AB21" i="17"/>
  <c r="AG21" i="17" s="1"/>
  <c r="AB29" i="17"/>
  <c r="AG29" i="17" s="1"/>
  <c r="AB12" i="17"/>
  <c r="AG12" i="17" s="1"/>
  <c r="AB20" i="17"/>
  <c r="AG20" i="17" s="1"/>
  <c r="AB28" i="17"/>
  <c r="AG28" i="17" s="1"/>
  <c r="AB17" i="17"/>
  <c r="AG17" i="17" s="1"/>
  <c r="AB25" i="17"/>
  <c r="AG25" i="17" s="1"/>
  <c r="AB33" i="17"/>
  <c r="AG33" i="17" s="1"/>
  <c r="AB39" i="17"/>
  <c r="AG39" i="17" s="1"/>
  <c r="AB40" i="17"/>
  <c r="AG40" i="17" s="1"/>
  <c r="AB41" i="17"/>
  <c r="AG41" i="17" s="1"/>
  <c r="AB10" i="17"/>
  <c r="AG10" i="17" s="1"/>
  <c r="X14" i="17"/>
  <c r="AC14" i="17" s="1"/>
  <c r="Y17" i="17"/>
  <c r="AD17" i="17" s="1"/>
  <c r="Z20" i="17"/>
  <c r="AE20" i="17" s="1"/>
  <c r="Z24" i="17"/>
  <c r="AE24" i="17" s="1"/>
  <c r="Z28" i="17"/>
  <c r="AE28" i="17" s="1"/>
  <c r="X34" i="17"/>
  <c r="AC34" i="17" s="1"/>
  <c r="X42" i="17"/>
  <c r="AC42" i="17" s="1"/>
  <c r="X11" i="17"/>
  <c r="AC11" i="17" s="1"/>
  <c r="Y14" i="17"/>
  <c r="AD14" i="17" s="1"/>
  <c r="Z17" i="17"/>
  <c r="AE17" i="17" s="1"/>
  <c r="AB23" i="17"/>
  <c r="AG23" i="17" s="1"/>
  <c r="AB27" i="17"/>
  <c r="AG27" i="17" s="1"/>
  <c r="X35" i="17"/>
  <c r="AC35" i="17" s="1"/>
  <c r="X41" i="17"/>
  <c r="AC41" i="17" s="1"/>
  <c r="X47" i="17"/>
  <c r="AC47" i="17" s="1"/>
  <c r="BB42" i="17" l="1"/>
  <c r="BA42" i="17"/>
  <c r="BC42" i="17" s="1"/>
  <c r="BB60" i="17"/>
  <c r="BA60" i="17"/>
  <c r="BC60" i="17" s="1"/>
  <c r="BB67" i="17"/>
  <c r="BA67" i="17"/>
  <c r="BC67" i="17" s="1"/>
  <c r="BA29" i="17"/>
  <c r="BC29" i="17" s="1"/>
  <c r="BB29" i="17"/>
  <c r="BB36" i="17"/>
  <c r="BA36" i="17"/>
  <c r="BC36" i="17" s="1"/>
  <c r="BB46" i="17"/>
  <c r="BA46" i="17"/>
  <c r="BC46" i="17" s="1"/>
  <c r="BA61" i="17"/>
  <c r="BC61" i="17" s="1"/>
  <c r="BB61" i="17"/>
  <c r="BA75" i="17"/>
  <c r="BC75" i="17" s="1"/>
  <c r="BB75" i="17"/>
  <c r="BA65" i="17"/>
  <c r="BC65" i="17" s="1"/>
  <c r="BB65" i="17"/>
  <c r="BA90" i="17"/>
  <c r="BC90" i="17" s="1"/>
  <c r="BB90" i="17"/>
  <c r="BB85" i="17"/>
  <c r="BA85" i="17"/>
  <c r="BC85" i="17" s="1"/>
  <c r="BB91" i="17"/>
  <c r="BA91" i="17"/>
  <c r="BC91" i="17" s="1"/>
  <c r="BA89" i="17"/>
  <c r="BC89" i="17" s="1"/>
  <c r="BB89" i="17"/>
  <c r="BB32" i="17"/>
  <c r="BA32" i="17"/>
  <c r="BC32" i="17" s="1"/>
  <c r="BB38" i="17"/>
  <c r="BA38" i="17"/>
  <c r="BC38" i="17" s="1"/>
  <c r="BB80" i="17"/>
  <c r="BA80" i="17"/>
  <c r="BC80" i="17" s="1"/>
  <c r="BB51" i="17"/>
  <c r="BA51" i="17"/>
  <c r="BC51" i="17" s="1"/>
  <c r="BB84" i="17"/>
  <c r="BA84" i="17"/>
  <c r="BC84" i="17" s="1"/>
  <c r="BB66" i="17"/>
  <c r="BA66" i="17"/>
  <c r="BC66" i="17" s="1"/>
  <c r="BB69" i="17"/>
  <c r="BA69" i="17"/>
  <c r="BC69" i="17" s="1"/>
  <c r="BB79" i="17"/>
  <c r="BA79" i="17"/>
  <c r="BC79" i="17" s="1"/>
  <c r="BB73" i="17"/>
  <c r="BA73" i="17"/>
  <c r="BC73" i="17" s="1"/>
  <c r="BB94" i="17"/>
  <c r="BA94" i="17"/>
  <c r="BC94" i="17" s="1"/>
  <c r="BB30" i="17"/>
  <c r="BA30" i="17"/>
  <c r="BC30" i="17" s="1"/>
  <c r="BB93" i="17"/>
  <c r="BA93" i="17"/>
  <c r="BC93" i="17" s="1"/>
  <c r="BA40" i="17"/>
  <c r="BC40" i="17" s="1"/>
  <c r="BB40" i="17"/>
  <c r="BA39" i="17"/>
  <c r="BC39" i="17" s="1"/>
  <c r="BB39" i="17"/>
  <c r="BB45" i="17"/>
  <c r="BA45" i="17"/>
  <c r="BC45" i="17" s="1"/>
  <c r="BB82" i="17"/>
  <c r="BA82" i="17"/>
  <c r="BC82" i="17" s="1"/>
  <c r="BB31" i="17"/>
  <c r="BA31" i="17"/>
  <c r="BC31" i="17" s="1"/>
  <c r="BB96" i="17"/>
  <c r="BA96" i="17"/>
  <c r="BC96" i="17" s="1"/>
  <c r="BB59" i="17"/>
  <c r="BA59" i="17"/>
  <c r="BC59" i="17" s="1"/>
  <c r="BB33" i="17"/>
  <c r="BA33" i="17"/>
  <c r="BC33" i="17" s="1"/>
  <c r="BB74" i="17"/>
  <c r="BA74" i="17"/>
  <c r="BC74" i="17" s="1"/>
  <c r="BB53" i="17"/>
  <c r="BA53" i="17"/>
  <c r="BC53" i="17" s="1"/>
  <c r="BA71" i="17"/>
  <c r="BC71" i="17" s="1"/>
  <c r="BB71" i="17"/>
  <c r="BA57" i="17"/>
  <c r="BC57" i="17" s="1"/>
  <c r="BB57" i="17"/>
  <c r="BB86" i="17"/>
  <c r="BA86" i="17"/>
  <c r="BC86" i="17" s="1"/>
  <c r="BB48" i="17"/>
  <c r="BA48" i="17"/>
  <c r="BC48" i="17" s="1"/>
  <c r="BB35" i="17"/>
  <c r="BA35" i="17"/>
  <c r="BC35" i="17" s="1"/>
  <c r="BB52" i="17"/>
  <c r="BA52" i="17"/>
  <c r="BC52" i="17" s="1"/>
  <c r="BB50" i="17"/>
  <c r="BA50" i="17"/>
  <c r="BC50" i="17" s="1"/>
  <c r="BB37" i="17"/>
  <c r="BA37" i="17"/>
  <c r="BC37" i="17" s="1"/>
  <c r="BB63" i="17"/>
  <c r="BA63" i="17"/>
  <c r="BC63" i="17" s="1"/>
  <c r="BB41" i="17"/>
  <c r="BA41" i="17"/>
  <c r="BC41" i="17" s="1"/>
  <c r="BB78" i="17"/>
  <c r="BA78" i="17"/>
  <c r="BC78" i="17" s="1"/>
  <c r="BB95" i="17"/>
  <c r="BA95" i="17"/>
  <c r="BC95" i="17" s="1"/>
  <c r="BB97" i="17"/>
  <c r="BA97" i="17"/>
  <c r="BC97" i="17" s="1"/>
  <c r="BA56" i="17"/>
  <c r="BC56" i="17" s="1"/>
  <c r="BB56" i="17"/>
  <c r="BB54" i="17"/>
  <c r="BA54" i="17"/>
  <c r="BC54" i="17" s="1"/>
  <c r="BB49" i="17"/>
  <c r="BA49" i="17"/>
  <c r="BC49" i="17" s="1"/>
  <c r="BB44" i="17"/>
  <c r="BA44" i="17"/>
  <c r="BC44" i="17" s="1"/>
  <c r="BA64" i="17"/>
  <c r="BC64" i="17" s="1"/>
  <c r="BB64" i="17"/>
  <c r="BA43" i="17"/>
  <c r="BC43" i="17" s="1"/>
  <c r="BB43" i="17"/>
  <c r="BA68" i="17"/>
  <c r="BC68" i="17" s="1"/>
  <c r="BB68" i="17"/>
  <c r="BA58" i="17"/>
  <c r="BC58" i="17" s="1"/>
  <c r="BB58" i="17"/>
  <c r="BB88" i="17"/>
  <c r="BA88" i="17"/>
  <c r="BC88" i="17" s="1"/>
  <c r="BB55" i="17"/>
  <c r="BA55" i="17"/>
  <c r="BC55" i="17" s="1"/>
  <c r="BB92" i="17"/>
  <c r="BA92" i="17"/>
  <c r="BC92" i="17" s="1"/>
  <c r="BB70" i="17"/>
  <c r="BA70" i="17"/>
  <c r="BC70" i="17" s="1"/>
  <c r="BA77" i="17"/>
  <c r="BC77" i="17" s="1"/>
  <c r="BB77" i="17"/>
  <c r="BB83" i="17"/>
  <c r="BA83" i="17"/>
  <c r="BC83" i="17" s="1"/>
  <c r="BB81" i="17"/>
  <c r="BA81" i="17"/>
  <c r="BC81" i="17" s="1"/>
  <c r="BA87" i="17"/>
  <c r="BC87" i="17" s="1"/>
  <c r="BB87" i="17"/>
  <c r="BA34" i="17"/>
  <c r="BC34" i="17" s="1"/>
  <c r="BB34" i="17"/>
  <c r="BB72" i="17"/>
  <c r="BA72" i="17"/>
  <c r="BC72" i="17" s="1"/>
  <c r="BB47" i="17"/>
  <c r="BA47" i="17"/>
  <c r="BC47" i="17" s="1"/>
  <c r="BB76" i="17"/>
  <c r="BA76" i="17"/>
  <c r="BC76" i="17" s="1"/>
  <c r="BB62" i="17"/>
  <c r="BA62" i="17"/>
  <c r="BC62" i="17" s="1"/>
  <c r="AI47" i="17"/>
  <c r="AL47" i="17" s="1"/>
  <c r="AM47" i="17" s="1"/>
  <c r="AI12" i="17"/>
  <c r="AK12" i="17" s="1"/>
  <c r="C9" i="21" s="1"/>
  <c r="AI44" i="17"/>
  <c r="AL44" i="17" s="1"/>
  <c r="AM44" i="17" s="1"/>
  <c r="AI23" i="17"/>
  <c r="A20" i="21" s="1"/>
  <c r="AI46" i="17"/>
  <c r="AL46" i="17" s="1"/>
  <c r="AM46" i="17" s="1"/>
  <c r="AI16" i="17"/>
  <c r="AK16" i="17" s="1"/>
  <c r="C13" i="21" s="1"/>
  <c r="AI34" i="17"/>
  <c r="A31" i="21" s="1"/>
  <c r="AI15" i="17"/>
  <c r="AL15" i="17" s="1"/>
  <c r="AM15" i="17" s="1"/>
  <c r="AI35" i="17"/>
  <c r="AK35" i="17" s="1"/>
  <c r="C32" i="21" s="1"/>
  <c r="AI18" i="17"/>
  <c r="AK18" i="17" s="1"/>
  <c r="C15" i="21" s="1"/>
  <c r="AI33" i="17"/>
  <c r="AL33" i="17" s="1"/>
  <c r="AM33" i="17" s="1"/>
  <c r="AI26" i="17"/>
  <c r="A23" i="21" s="1"/>
  <c r="AI48" i="17"/>
  <c r="A45" i="21" s="1"/>
  <c r="AI13" i="17"/>
  <c r="A10" i="21" s="1"/>
  <c r="AI41" i="17"/>
  <c r="A38" i="21" s="1"/>
  <c r="AK24" i="17"/>
  <c r="C21" i="21" s="1"/>
  <c r="AI10" i="17"/>
  <c r="A7" i="21" s="1"/>
  <c r="AI43" i="17"/>
  <c r="AL43" i="17" s="1"/>
  <c r="AM43" i="17" s="1"/>
  <c r="AI36" i="17"/>
  <c r="AK36" i="17" s="1"/>
  <c r="C33" i="21" s="1"/>
  <c r="AI25" i="17"/>
  <c r="AL25" i="17" s="1"/>
  <c r="AM25" i="17" s="1"/>
  <c r="A21" i="21"/>
  <c r="AI19" i="17"/>
  <c r="A16" i="21" s="1"/>
  <c r="AI37" i="17"/>
  <c r="A34" i="21" s="1"/>
  <c r="AI28" i="17"/>
  <c r="AL28" i="17" s="1"/>
  <c r="AM28" i="17" s="1"/>
  <c r="AI27" i="17"/>
  <c r="A24" i="21" s="1"/>
  <c r="AI45" i="17"/>
  <c r="A42" i="21" s="1"/>
  <c r="AI32" i="17"/>
  <c r="A29" i="21" s="1"/>
  <c r="AI30" i="17"/>
  <c r="A27" i="21" s="1"/>
  <c r="AI31" i="17"/>
  <c r="A28" i="21" s="1"/>
  <c r="AI38" i="17"/>
  <c r="A35" i="21" s="1"/>
  <c r="AI17" i="17"/>
  <c r="AK17" i="17" s="1"/>
  <c r="C14" i="21" s="1"/>
  <c r="AI20" i="17"/>
  <c r="A17" i="21" s="1"/>
  <c r="AI42" i="17"/>
  <c r="A39" i="21" s="1"/>
  <c r="AI21" i="17"/>
  <c r="A18" i="21" s="1"/>
  <c r="AI9" i="17"/>
  <c r="AI11" i="17"/>
  <c r="AK11" i="17" s="1"/>
  <c r="C8" i="21" s="1"/>
  <c r="AI29" i="17"/>
  <c r="A26" i="21" s="1"/>
  <c r="AI39" i="17"/>
  <c r="A36" i="21" s="1"/>
  <c r="AI14" i="17"/>
  <c r="AL14" i="17" s="1"/>
  <c r="AM14" i="17" s="1"/>
  <c r="AI49" i="17"/>
  <c r="AK49" i="17" s="1"/>
  <c r="AI22" i="17"/>
  <c r="AK22" i="17" s="1"/>
  <c r="C19" i="21" s="1"/>
  <c r="AI40" i="17"/>
  <c r="AK40" i="17" s="1"/>
  <c r="C37" i="21" s="1"/>
  <c r="AM6" i="17"/>
  <c r="AK4" i="17" s="1"/>
  <c r="AO9" i="17"/>
  <c r="AO11" i="17"/>
  <c r="M8" i="21" s="1"/>
  <c r="AO15" i="17"/>
  <c r="M12" i="21" s="1"/>
  <c r="AO19" i="17"/>
  <c r="M16" i="21" s="1"/>
  <c r="AO23" i="17"/>
  <c r="M20" i="21" s="1"/>
  <c r="AO27" i="17"/>
  <c r="M24" i="21" s="1"/>
  <c r="AO31" i="17"/>
  <c r="M28" i="21" s="1"/>
  <c r="AO35" i="17"/>
  <c r="M32" i="21" s="1"/>
  <c r="AO39" i="17"/>
  <c r="M36" i="21" s="1"/>
  <c r="AO43" i="17"/>
  <c r="M40" i="21" s="1"/>
  <c r="AO47" i="17"/>
  <c r="M44" i="21" s="1"/>
  <c r="AO51" i="17"/>
  <c r="M48" i="21" s="1"/>
  <c r="AO55" i="17"/>
  <c r="M52" i="21" s="1"/>
  <c r="AO59" i="17"/>
  <c r="M56" i="21" s="1"/>
  <c r="AO63" i="17"/>
  <c r="M60" i="21" s="1"/>
  <c r="AO67" i="17"/>
  <c r="M64" i="21" s="1"/>
  <c r="AO71" i="17"/>
  <c r="M68" i="21" s="1"/>
  <c r="AO75" i="17"/>
  <c r="M72" i="21" s="1"/>
  <c r="AO12" i="17"/>
  <c r="M9" i="21" s="1"/>
  <c r="AO16" i="17"/>
  <c r="M13" i="21" s="1"/>
  <c r="AO20" i="17"/>
  <c r="M17" i="21" s="1"/>
  <c r="AO24" i="17"/>
  <c r="M21" i="21" s="1"/>
  <c r="AO28" i="17"/>
  <c r="M25" i="21" s="1"/>
  <c r="AO32" i="17"/>
  <c r="M29" i="21" s="1"/>
  <c r="AO36" i="17"/>
  <c r="M33" i="21" s="1"/>
  <c r="AO40" i="17"/>
  <c r="M37" i="21" s="1"/>
  <c r="AO44" i="17"/>
  <c r="M41" i="21" s="1"/>
  <c r="AO48" i="17"/>
  <c r="M45" i="21" s="1"/>
  <c r="AO52" i="17"/>
  <c r="M49" i="21" s="1"/>
  <c r="AO56" i="17"/>
  <c r="M53" i="21" s="1"/>
  <c r="AO60" i="17"/>
  <c r="M57" i="21" s="1"/>
  <c r="AO64" i="17"/>
  <c r="M61" i="21" s="1"/>
  <c r="AO68" i="17"/>
  <c r="M65" i="21" s="1"/>
  <c r="AO72" i="17"/>
  <c r="M69" i="21" s="1"/>
  <c r="AO76" i="17"/>
  <c r="M73" i="21" s="1"/>
  <c r="AO13" i="17"/>
  <c r="M10" i="21" s="1"/>
  <c r="AO17" i="17"/>
  <c r="M14" i="21" s="1"/>
  <c r="AO21" i="17"/>
  <c r="M18" i="21" s="1"/>
  <c r="AO25" i="17"/>
  <c r="M22" i="21" s="1"/>
  <c r="AO29" i="17"/>
  <c r="M26" i="21" s="1"/>
  <c r="AO33" i="17"/>
  <c r="M30" i="21" s="1"/>
  <c r="AO37" i="17"/>
  <c r="M34" i="21" s="1"/>
  <c r="AO41" i="17"/>
  <c r="M38" i="21" s="1"/>
  <c r="AO45" i="17"/>
  <c r="M42" i="21" s="1"/>
  <c r="AO49" i="17"/>
  <c r="M46" i="21" s="1"/>
  <c r="AO53" i="17"/>
  <c r="M50" i="21" s="1"/>
  <c r="AO57" i="17"/>
  <c r="M54" i="21" s="1"/>
  <c r="AO61" i="17"/>
  <c r="M58" i="21" s="1"/>
  <c r="AO65" i="17"/>
  <c r="M62" i="21" s="1"/>
  <c r="AO69" i="17"/>
  <c r="M66" i="21" s="1"/>
  <c r="AO73" i="17"/>
  <c r="M70" i="21" s="1"/>
  <c r="AO77" i="17"/>
  <c r="M74" i="21" s="1"/>
  <c r="AO10" i="17"/>
  <c r="M7" i="21" s="1"/>
  <c r="AO14" i="17"/>
  <c r="M11" i="21" s="1"/>
  <c r="AO18" i="17"/>
  <c r="M15" i="21" s="1"/>
  <c r="AO22" i="17"/>
  <c r="M19" i="21" s="1"/>
  <c r="AO26" i="17"/>
  <c r="M23" i="21" s="1"/>
  <c r="AO30" i="17"/>
  <c r="M27" i="21" s="1"/>
  <c r="AO34" i="17"/>
  <c r="M31" i="21" s="1"/>
  <c r="AO38" i="17"/>
  <c r="M35" i="21" s="1"/>
  <c r="AO42" i="17"/>
  <c r="M39" i="21" s="1"/>
  <c r="AO46" i="17"/>
  <c r="M43" i="21" s="1"/>
  <c r="AO50" i="17"/>
  <c r="M47" i="21" s="1"/>
  <c r="AO54" i="17"/>
  <c r="M51" i="21" s="1"/>
  <c r="AO58" i="17"/>
  <c r="M55" i="21" s="1"/>
  <c r="AO62" i="17"/>
  <c r="M59" i="21" s="1"/>
  <c r="AO66" i="17"/>
  <c r="M63" i="21" s="1"/>
  <c r="AO70" i="17"/>
  <c r="M67" i="21" s="1"/>
  <c r="AO74" i="17"/>
  <c r="M71" i="21" s="1"/>
  <c r="AI4" i="17"/>
  <c r="AL18" i="17"/>
  <c r="AM18" i="17" s="1"/>
  <c r="B45" i="21"/>
  <c r="B44" i="21"/>
  <c r="BD29" i="17" l="1"/>
  <c r="D4" i="20" s="1"/>
  <c r="AL9" i="17"/>
  <c r="AM9" i="17" s="1"/>
  <c r="AK44" i="17"/>
  <c r="C41" i="21" s="1"/>
  <c r="AK47" i="17"/>
  <c r="C44" i="21" s="1"/>
  <c r="AK23" i="17"/>
  <c r="C20" i="21" s="1"/>
  <c r="A41" i="21"/>
  <c r="AK28" i="17"/>
  <c r="C25" i="21" s="1"/>
  <c r="AK15" i="17"/>
  <c r="C12" i="21" s="1"/>
  <c r="A44" i="21"/>
  <c r="AL12" i="17"/>
  <c r="AM12" i="17" s="1"/>
  <c r="AL23" i="17"/>
  <c r="AM23" i="17" s="1"/>
  <c r="AK46" i="17"/>
  <c r="C43" i="21" s="1"/>
  <c r="AL16" i="17"/>
  <c r="AM16" i="17" s="1"/>
  <c r="AK43" i="17"/>
  <c r="C40" i="21" s="1"/>
  <c r="A13" i="21"/>
  <c r="A9" i="21"/>
  <c r="A15" i="21"/>
  <c r="AK14" i="17"/>
  <c r="C11" i="21" s="1"/>
  <c r="A43" i="21"/>
  <c r="A11" i="21"/>
  <c r="A14" i="21"/>
  <c r="AK9" i="17"/>
  <c r="C6" i="21" s="1"/>
  <c r="AK48" i="17"/>
  <c r="C45" i="21" s="1"/>
  <c r="AL35" i="17"/>
  <c r="AM35" i="17" s="1"/>
  <c r="AK10" i="17"/>
  <c r="C7" i="21" s="1"/>
  <c r="A12" i="21"/>
  <c r="AK26" i="17"/>
  <c r="C23" i="21" s="1"/>
  <c r="A32" i="21"/>
  <c r="AL26" i="17"/>
  <c r="AM26" i="17" s="1"/>
  <c r="AK31" i="17"/>
  <c r="C28" i="21" s="1"/>
  <c r="A30" i="21"/>
  <c r="AK33" i="17"/>
  <c r="C30" i="21" s="1"/>
  <c r="AK34" i="17"/>
  <c r="C31" i="21" s="1"/>
  <c r="AL34" i="17"/>
  <c r="AM34" i="17" s="1"/>
  <c r="AL48" i="17"/>
  <c r="AM48" i="17" s="1"/>
  <c r="AL10" i="17"/>
  <c r="AM10" i="17" s="1"/>
  <c r="AL45" i="17"/>
  <c r="AM45" i="17" s="1"/>
  <c r="AL41" i="17"/>
  <c r="AM41" i="17" s="1"/>
  <c r="AK21" i="17"/>
  <c r="C18" i="21" s="1"/>
  <c r="AK45" i="17"/>
  <c r="C42" i="21" s="1"/>
  <c r="A33" i="21"/>
  <c r="AL36" i="17"/>
  <c r="AM36" i="17" s="1"/>
  <c r="AL31" i="17"/>
  <c r="AM31" i="17" s="1"/>
  <c r="AL13" i="17"/>
  <c r="AM13" i="17" s="1"/>
  <c r="AK42" i="17"/>
  <c r="C39" i="21" s="1"/>
  <c r="A40" i="21"/>
  <c r="AK41" i="17"/>
  <c r="C38" i="21" s="1"/>
  <c r="AK13" i="17"/>
  <c r="C10" i="21" s="1"/>
  <c r="A25" i="21"/>
  <c r="AL38" i="17"/>
  <c r="AM38" i="17" s="1"/>
  <c r="AK25" i="17"/>
  <c r="C22" i="21" s="1"/>
  <c r="A22" i="21"/>
  <c r="AL19" i="17"/>
  <c r="AM19" i="17" s="1"/>
  <c r="AL39" i="17"/>
  <c r="AM39" i="17" s="1"/>
  <c r="AK39" i="17"/>
  <c r="C36" i="21" s="1"/>
  <c r="AK19" i="17"/>
  <c r="C16" i="21" s="1"/>
  <c r="AL42" i="17"/>
  <c r="AM42" i="17" s="1"/>
  <c r="AL27" i="17"/>
  <c r="AM27" i="17" s="1"/>
  <c r="AK29" i="17"/>
  <c r="C26" i="21" s="1"/>
  <c r="AK27" i="17"/>
  <c r="C24" i="21" s="1"/>
  <c r="AL22" i="17"/>
  <c r="AM22" i="17" s="1"/>
  <c r="AL40" i="17"/>
  <c r="AM40" i="17" s="1"/>
  <c r="AL29" i="17"/>
  <c r="AM29" i="17" s="1"/>
  <c r="AK38" i="17"/>
  <c r="C35" i="21" s="1"/>
  <c r="AK30" i="17"/>
  <c r="C27" i="21" s="1"/>
  <c r="A8" i="21"/>
  <c r="A19" i="21"/>
  <c r="AL20" i="17"/>
  <c r="AM20" i="17" s="1"/>
  <c r="AL30" i="17"/>
  <c r="AM30" i="17" s="1"/>
  <c r="AL49" i="17"/>
  <c r="AM49" i="17" s="1"/>
  <c r="AL37" i="17"/>
  <c r="AM37" i="17" s="1"/>
  <c r="A6" i="21"/>
  <c r="AK20" i="17"/>
  <c r="C17" i="21" s="1"/>
  <c r="AK32" i="17"/>
  <c r="C29" i="21" s="1"/>
  <c r="AK37" i="17"/>
  <c r="C34" i="21" s="1"/>
  <c r="AL17" i="17"/>
  <c r="AM17" i="17" s="1"/>
  <c r="AL11" i="17"/>
  <c r="AM11" i="17" s="1"/>
  <c r="AL21" i="17"/>
  <c r="AM21" i="17" s="1"/>
  <c r="AL32" i="17"/>
  <c r="AM32" i="17" s="1"/>
  <c r="A37" i="21"/>
  <c r="AQ4" i="17"/>
  <c r="AQ5" i="17" s="1"/>
  <c r="AR6" i="17" s="1"/>
  <c r="M6" i="21"/>
  <c r="P5" i="21" s="1"/>
  <c r="P6" i="21" s="1"/>
  <c r="AT4" i="17" l="1"/>
  <c r="AT5" i="17" s="1"/>
  <c r="AT6" i="17" s="1"/>
  <c r="B5" i="14" l="1"/>
  <c r="C5" i="14" s="1"/>
  <c r="B4" i="14"/>
  <c r="C4" i="14" s="1"/>
  <c r="B3" i="14"/>
  <c r="C3" i="14" s="1"/>
  <c r="B2" i="14"/>
  <c r="C2" i="14" s="1"/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2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C41" i="13"/>
  <c r="E41" i="13" s="1"/>
  <c r="F41" i="13" s="1"/>
  <c r="D41" i="13"/>
  <c r="D40" i="13"/>
  <c r="C40" i="13"/>
  <c r="E40" i="13" s="1"/>
  <c r="F40" i="13" s="1"/>
  <c r="C39" i="13"/>
  <c r="E39" i="13" s="1"/>
  <c r="F39" i="13" s="1"/>
  <c r="D39" i="13"/>
  <c r="C38" i="13"/>
  <c r="E38" i="13" s="1"/>
  <c r="F38" i="13" s="1"/>
  <c r="D38" i="13"/>
  <c r="D37" i="13"/>
  <c r="C37" i="13"/>
  <c r="E37" i="13" s="1"/>
  <c r="F37" i="13" s="1"/>
  <c r="E36" i="13"/>
  <c r="F36" i="13" s="1"/>
  <c r="C36" i="13"/>
  <c r="D36" i="13"/>
  <c r="C35" i="13"/>
  <c r="E35" i="13" s="1"/>
  <c r="F35" i="13" s="1"/>
  <c r="D35" i="13"/>
  <c r="C34" i="13"/>
  <c r="E34" i="13" s="1"/>
  <c r="F34" i="13" s="1"/>
  <c r="D34" i="13"/>
  <c r="C33" i="13"/>
  <c r="E33" i="13" s="1"/>
  <c r="F33" i="13" s="1"/>
  <c r="D33" i="13"/>
  <c r="D32" i="13"/>
  <c r="C32" i="13"/>
  <c r="E32" i="13" s="1"/>
  <c r="F32" i="13" s="1"/>
  <c r="E31" i="13"/>
  <c r="F31" i="13" s="1"/>
  <c r="C31" i="13"/>
  <c r="D31" i="13"/>
  <c r="C30" i="13"/>
  <c r="E30" i="13" s="1"/>
  <c r="F30" i="13" s="1"/>
  <c r="D30" i="13"/>
  <c r="D29" i="13"/>
  <c r="C29" i="13"/>
  <c r="E29" i="13" s="1"/>
  <c r="F29" i="13" s="1"/>
  <c r="C28" i="13"/>
  <c r="E28" i="13" s="1"/>
  <c r="F28" i="13" s="1"/>
  <c r="D28" i="13"/>
  <c r="C27" i="13"/>
  <c r="E27" i="13" s="1"/>
  <c r="F27" i="13" s="1"/>
  <c r="D27" i="13"/>
  <c r="C26" i="13"/>
  <c r="E26" i="13" s="1"/>
  <c r="F26" i="13" s="1"/>
  <c r="D26" i="13"/>
  <c r="C25" i="13"/>
  <c r="E25" i="13" s="1"/>
  <c r="F25" i="13" s="1"/>
  <c r="D25" i="13"/>
  <c r="E24" i="13"/>
  <c r="F24" i="13" s="1"/>
  <c r="D24" i="13"/>
  <c r="C24" i="13"/>
  <c r="C23" i="13"/>
  <c r="E23" i="13" s="1"/>
  <c r="F23" i="13" s="1"/>
  <c r="D23" i="13"/>
  <c r="C22" i="13"/>
  <c r="E22" i="13" s="1"/>
  <c r="F22" i="13" s="1"/>
  <c r="D22" i="13"/>
  <c r="D21" i="13"/>
  <c r="C21" i="13"/>
  <c r="E21" i="13" s="1"/>
  <c r="F21" i="13" s="1"/>
  <c r="C20" i="13"/>
  <c r="E20" i="13" s="1"/>
  <c r="F20" i="13" s="1"/>
  <c r="D20" i="13"/>
  <c r="C19" i="13"/>
  <c r="E19" i="13" s="1"/>
  <c r="F19" i="13" s="1"/>
  <c r="D19" i="13"/>
  <c r="C18" i="13"/>
  <c r="E18" i="13" s="1"/>
  <c r="F18" i="13" s="1"/>
  <c r="D18" i="13"/>
  <c r="C17" i="13"/>
  <c r="E17" i="13" s="1"/>
  <c r="F17" i="13" s="1"/>
  <c r="D17" i="13"/>
  <c r="D16" i="13"/>
  <c r="C16" i="13"/>
  <c r="E16" i="13" s="1"/>
  <c r="F16" i="13" s="1"/>
  <c r="C15" i="13"/>
  <c r="E15" i="13" s="1"/>
  <c r="F15" i="13" s="1"/>
  <c r="D15" i="13"/>
  <c r="C14" i="13"/>
  <c r="E14" i="13" s="1"/>
  <c r="F14" i="13" s="1"/>
  <c r="D14" i="13"/>
  <c r="D13" i="13"/>
  <c r="C13" i="13"/>
  <c r="E13" i="13" s="1"/>
  <c r="F13" i="13" s="1"/>
  <c r="E12" i="13"/>
  <c r="F12" i="13" s="1"/>
  <c r="C12" i="13"/>
  <c r="D12" i="13"/>
  <c r="C11" i="13"/>
  <c r="E11" i="13" s="1"/>
  <c r="F11" i="13" s="1"/>
  <c r="D11" i="13"/>
  <c r="C10" i="13"/>
  <c r="E10" i="13" s="1"/>
  <c r="F10" i="13" s="1"/>
  <c r="D10" i="13"/>
  <c r="C9" i="13"/>
  <c r="E9" i="13" s="1"/>
  <c r="F9" i="13" s="1"/>
  <c r="D9" i="13"/>
  <c r="C8" i="13"/>
  <c r="E8" i="13" s="1"/>
  <c r="F8" i="13" s="1"/>
  <c r="D8" i="13"/>
  <c r="C7" i="13"/>
  <c r="E7" i="13" s="1"/>
  <c r="F7" i="13" s="1"/>
  <c r="D7" i="13"/>
  <c r="C6" i="13"/>
  <c r="E6" i="13" s="1"/>
  <c r="F6" i="13" s="1"/>
  <c r="D6" i="13"/>
  <c r="C5" i="13"/>
  <c r="E5" i="13" s="1"/>
  <c r="F5" i="13" s="1"/>
  <c r="D5" i="13"/>
  <c r="C4" i="13"/>
  <c r="E4" i="13" s="1"/>
  <c r="F4" i="13" s="1"/>
  <c r="D4" i="13"/>
  <c r="C3" i="13"/>
  <c r="E3" i="13" s="1"/>
  <c r="F3" i="13" s="1"/>
  <c r="D3" i="13"/>
  <c r="C2" i="13"/>
  <c r="E2" i="13" s="1"/>
  <c r="F2" i="13" s="1"/>
  <c r="D2" i="13"/>
  <c r="E41" i="12" l="1"/>
  <c r="C41" i="12"/>
  <c r="E40" i="12"/>
  <c r="C40" i="12"/>
  <c r="E39" i="12"/>
  <c r="C39" i="12"/>
  <c r="E38" i="12"/>
  <c r="C38" i="12"/>
  <c r="E37" i="12"/>
  <c r="C37" i="12"/>
  <c r="E36" i="12"/>
  <c r="C36" i="12"/>
  <c r="E35" i="12"/>
  <c r="C35" i="12"/>
  <c r="E34" i="12"/>
  <c r="C34" i="12"/>
  <c r="E33" i="12"/>
  <c r="C33" i="12"/>
  <c r="E32" i="12"/>
  <c r="C32" i="12"/>
  <c r="E31" i="12"/>
  <c r="C31" i="12"/>
  <c r="E30" i="12"/>
  <c r="C30" i="12"/>
  <c r="E29" i="12"/>
  <c r="C29" i="12"/>
  <c r="E28" i="12"/>
  <c r="C28" i="12"/>
  <c r="E27" i="12"/>
  <c r="C27" i="12"/>
  <c r="E26" i="12"/>
  <c r="C26" i="12"/>
  <c r="E25" i="12"/>
  <c r="C25" i="12"/>
  <c r="E24" i="12"/>
  <c r="C24" i="12"/>
  <c r="E23" i="12"/>
  <c r="C23" i="12"/>
  <c r="E22" i="12"/>
  <c r="C22" i="12"/>
  <c r="E21" i="12"/>
  <c r="C21" i="12"/>
  <c r="E20" i="12"/>
  <c r="C20" i="12"/>
  <c r="E19" i="12"/>
  <c r="C19" i="12"/>
  <c r="E18" i="12"/>
  <c r="C18" i="12"/>
  <c r="E17" i="12"/>
  <c r="C17" i="12"/>
  <c r="E16" i="12"/>
  <c r="C16" i="12"/>
  <c r="E15" i="12"/>
  <c r="C15" i="12"/>
  <c r="E14" i="12"/>
  <c r="C14" i="12"/>
  <c r="E13" i="12"/>
  <c r="C13" i="12"/>
  <c r="E12" i="12"/>
  <c r="C12" i="12"/>
  <c r="E11" i="12"/>
  <c r="C11" i="12"/>
  <c r="E10" i="12"/>
  <c r="C10" i="12"/>
  <c r="E9" i="12"/>
  <c r="C9" i="12"/>
  <c r="E8" i="12"/>
  <c r="C8" i="12"/>
  <c r="E7" i="12"/>
  <c r="C7" i="12"/>
  <c r="E6" i="12"/>
  <c r="C6" i="12"/>
  <c r="E5" i="12"/>
  <c r="C5" i="12"/>
  <c r="E4" i="12"/>
  <c r="C4" i="12"/>
  <c r="E3" i="12"/>
  <c r="C3" i="12"/>
  <c r="E2" i="12"/>
  <c r="C2" i="12"/>
  <c r="B38" i="11" l="1"/>
  <c r="C38" i="11" s="1"/>
  <c r="B39" i="11"/>
  <c r="C39" i="11" s="1"/>
  <c r="B40" i="11"/>
  <c r="C40" i="11" s="1"/>
  <c r="B41" i="11"/>
  <c r="C41" i="11" s="1"/>
  <c r="B37" i="11"/>
  <c r="C37" i="11" s="1"/>
  <c r="B36" i="11"/>
  <c r="C36" i="11" s="1"/>
  <c r="B35" i="11"/>
  <c r="C35" i="11" s="1"/>
  <c r="B34" i="11"/>
  <c r="C34" i="11" s="1"/>
  <c r="B33" i="11"/>
  <c r="C33" i="11" s="1"/>
  <c r="B32" i="11"/>
  <c r="C32" i="11" s="1"/>
  <c r="B31" i="11"/>
  <c r="C31" i="11" s="1"/>
  <c r="B30" i="11"/>
  <c r="C30" i="11" s="1"/>
  <c r="B29" i="11"/>
  <c r="C29" i="11" s="1"/>
  <c r="B28" i="11"/>
  <c r="C28" i="11" s="1"/>
  <c r="B27" i="11"/>
  <c r="C27" i="11" s="1"/>
  <c r="B26" i="11"/>
  <c r="C26" i="11" s="1"/>
  <c r="B25" i="11"/>
  <c r="C25" i="11" s="1"/>
  <c r="B24" i="11"/>
  <c r="C24" i="11" s="1"/>
  <c r="B23" i="11"/>
  <c r="C23" i="11" s="1"/>
  <c r="B22" i="11"/>
  <c r="C22" i="11" s="1"/>
  <c r="B21" i="11"/>
  <c r="C21" i="11" s="1"/>
  <c r="B20" i="11"/>
  <c r="C20" i="11" s="1"/>
  <c r="B19" i="11"/>
  <c r="C19" i="11" s="1"/>
  <c r="B18" i="11"/>
  <c r="C18" i="11" s="1"/>
  <c r="B17" i="11"/>
  <c r="C17" i="11" s="1"/>
  <c r="B16" i="11"/>
  <c r="C16" i="11" s="1"/>
  <c r="B15" i="11"/>
  <c r="C15" i="11" s="1"/>
  <c r="B14" i="11"/>
  <c r="C14" i="11" s="1"/>
  <c r="B13" i="11"/>
  <c r="C13" i="11" s="1"/>
  <c r="B12" i="11"/>
  <c r="C12" i="11" s="1"/>
  <c r="B11" i="11"/>
  <c r="C11" i="11" s="1"/>
  <c r="B10" i="11"/>
  <c r="C10" i="11" s="1"/>
  <c r="B9" i="11"/>
  <c r="C9" i="11" s="1"/>
  <c r="B8" i="11"/>
  <c r="C8" i="11" s="1"/>
  <c r="B7" i="11"/>
  <c r="C7" i="11" s="1"/>
  <c r="B6" i="11"/>
  <c r="C6" i="11" s="1"/>
  <c r="B5" i="11"/>
  <c r="C5" i="11" s="1"/>
  <c r="B4" i="11"/>
  <c r="C4" i="11" s="1"/>
  <c r="B3" i="11"/>
  <c r="C3" i="11" s="1"/>
  <c r="B2" i="11"/>
  <c r="C2" i="11" s="1"/>
  <c r="B38" i="10"/>
  <c r="C38" i="10" s="1"/>
  <c r="B39" i="10"/>
  <c r="C39" i="10" s="1"/>
  <c r="B40" i="10"/>
  <c r="C40" i="10" s="1"/>
  <c r="B41" i="10"/>
  <c r="C41" i="10" s="1"/>
  <c r="B37" i="10"/>
  <c r="C37" i="10" s="1"/>
  <c r="B36" i="10"/>
  <c r="C36" i="10" s="1"/>
  <c r="B35" i="10"/>
  <c r="C35" i="10" s="1"/>
  <c r="B34" i="10"/>
  <c r="C34" i="10" s="1"/>
  <c r="B33" i="10"/>
  <c r="C33" i="10" s="1"/>
  <c r="B32" i="10"/>
  <c r="C32" i="10" s="1"/>
  <c r="B31" i="10"/>
  <c r="C31" i="10" s="1"/>
  <c r="B30" i="10"/>
  <c r="C30" i="10" s="1"/>
  <c r="B29" i="10"/>
  <c r="C29" i="10" s="1"/>
  <c r="B28" i="10"/>
  <c r="C28" i="10" s="1"/>
  <c r="B27" i="10"/>
  <c r="C27" i="10" s="1"/>
  <c r="B26" i="10"/>
  <c r="C26" i="10" s="1"/>
  <c r="B25" i="10"/>
  <c r="C25" i="10" s="1"/>
  <c r="B24" i="10"/>
  <c r="C24" i="10" s="1"/>
  <c r="B23" i="10"/>
  <c r="C23" i="10" s="1"/>
  <c r="B22" i="10"/>
  <c r="C22" i="10" s="1"/>
  <c r="B21" i="10"/>
  <c r="C21" i="10" s="1"/>
  <c r="B20" i="10"/>
  <c r="C20" i="10" s="1"/>
  <c r="B19" i="10"/>
  <c r="C19" i="10" s="1"/>
  <c r="B18" i="10"/>
  <c r="C18" i="10" s="1"/>
  <c r="B17" i="10"/>
  <c r="C17" i="10" s="1"/>
  <c r="B16" i="10"/>
  <c r="C16" i="10" s="1"/>
  <c r="B15" i="10"/>
  <c r="C15" i="10" s="1"/>
  <c r="B14" i="10"/>
  <c r="C14" i="10" s="1"/>
  <c r="B13" i="10"/>
  <c r="C13" i="10" s="1"/>
  <c r="B12" i="10"/>
  <c r="C12" i="10" s="1"/>
  <c r="B11" i="10"/>
  <c r="C11" i="10" s="1"/>
  <c r="B10" i="10"/>
  <c r="C10" i="10" s="1"/>
  <c r="B9" i="10"/>
  <c r="C9" i="10" s="1"/>
  <c r="B8" i="10"/>
  <c r="C8" i="10" s="1"/>
  <c r="B7" i="10"/>
  <c r="C7" i="10" s="1"/>
  <c r="B6" i="10"/>
  <c r="C6" i="10" s="1"/>
  <c r="B5" i="10"/>
  <c r="C5" i="10" s="1"/>
  <c r="B4" i="10"/>
  <c r="C4" i="10" s="1"/>
  <c r="B3" i="10"/>
  <c r="C3" i="10" s="1"/>
  <c r="B2" i="10"/>
  <c r="C2" i="10" s="1"/>
  <c r="B6" i="5" l="1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5" i="5"/>
  <c r="C5" i="5" s="1"/>
  <c r="B4" i="5"/>
  <c r="C4" i="5" s="1"/>
  <c r="B3" i="5"/>
  <c r="C3" i="5" s="1"/>
  <c r="B2" i="5"/>
  <c r="C2" i="5" s="1"/>
  <c r="B3" i="3"/>
  <c r="C3" i="3" s="1"/>
  <c r="B4" i="3"/>
  <c r="C4" i="3" s="1"/>
  <c r="B5" i="3"/>
  <c r="C5" i="3" s="1"/>
  <c r="B2" i="3"/>
  <c r="C2" i="3" s="1"/>
</calcChain>
</file>

<file path=xl/sharedStrings.xml><?xml version="1.0" encoding="utf-8"?>
<sst xmlns="http://schemas.openxmlformats.org/spreadsheetml/2006/main" count="184" uniqueCount="109">
  <si>
    <t>Prix</t>
  </si>
  <si>
    <t>Demande</t>
  </si>
  <si>
    <t>Revenu</t>
  </si>
  <si>
    <t>Demande estimée (exponentielle)</t>
  </si>
  <si>
    <t>Revenu estimé</t>
  </si>
  <si>
    <t>Ln(prix)</t>
  </si>
  <si>
    <t>Ln(demande)</t>
  </si>
  <si>
    <t>Commentaires</t>
  </si>
  <si>
    <t xml:space="preserve">On applique une transformation logarithmique aux variables prix et demande.  </t>
  </si>
  <si>
    <t xml:space="preserve">On établit ensuite une tendance quadratique entre les deux nouvelles variables. </t>
  </si>
  <si>
    <t xml:space="preserve">La fonction f de demande devient </t>
  </si>
  <si>
    <t xml:space="preserve">En prenant l'exponentielle de cette fonction quadratique, on retrouve la demande.  </t>
  </si>
  <si>
    <t xml:space="preserve">Demande estimée </t>
  </si>
  <si>
    <t>a</t>
  </si>
  <si>
    <t>b</t>
  </si>
  <si>
    <t>p</t>
  </si>
  <si>
    <t>R</t>
  </si>
  <si>
    <t>Réponses</t>
  </si>
  <si>
    <t>min</t>
  </si>
  <si>
    <t>moyenne</t>
  </si>
  <si>
    <t>max</t>
  </si>
  <si>
    <t>écart-type</t>
  </si>
  <si>
    <t>Prix p</t>
  </si>
  <si>
    <t>Nombre d'étudiants acheteurs à ce prix Q(p)</t>
  </si>
  <si>
    <t>Recettes R</t>
  </si>
  <si>
    <t>équipe 1</t>
  </si>
  <si>
    <t>équipe 2</t>
  </si>
  <si>
    <t>équipe 3</t>
  </si>
  <si>
    <t>équipe 4</t>
  </si>
  <si>
    <t>équipe 5</t>
  </si>
  <si>
    <t>données</t>
  </si>
  <si>
    <t>prix</t>
  </si>
  <si>
    <t>Q(p)</t>
  </si>
  <si>
    <t>ln(Q(p))</t>
  </si>
  <si>
    <t>Q(p)=a*exp(-b*p)</t>
  </si>
  <si>
    <t>Q(p) modèle</t>
  </si>
  <si>
    <t>prix optimal</t>
  </si>
  <si>
    <t>R modèle</t>
  </si>
  <si>
    <t>no équipe</t>
  </si>
  <si>
    <t>R(p)</t>
  </si>
  <si>
    <t>n</t>
  </si>
  <si>
    <t>prix opt</t>
  </si>
  <si>
    <t>recettes opt</t>
  </si>
  <si>
    <t>Données</t>
  </si>
  <si>
    <t>Valeur de référence</t>
  </si>
  <si>
    <t>Nombre de valeurs dans les données ...</t>
  </si>
  <si>
    <t>égales</t>
  </si>
  <si>
    <t>… à la valeur de référence</t>
  </si>
  <si>
    <r>
      <t xml:space="preserve"> </t>
    </r>
    <r>
      <rPr>
        <b/>
        <sz val="12"/>
        <color rgb="FFC00000"/>
        <rFont val="Calibri"/>
        <family val="2"/>
        <scheme val="minor"/>
      </rPr>
      <t>&gt;=</t>
    </r>
    <r>
      <rPr>
        <b/>
        <sz val="12"/>
        <color theme="1"/>
        <rFont val="Calibri"/>
        <family val="2"/>
        <scheme val="minor"/>
      </rPr>
      <t xml:space="preserve"> (plus grandes ou égales)</t>
    </r>
  </si>
  <si>
    <r>
      <rPr>
        <b/>
        <sz val="12"/>
        <color rgb="FFC00000"/>
        <rFont val="Calibri"/>
        <family val="2"/>
        <scheme val="minor"/>
      </rPr>
      <t xml:space="preserve"> &gt;</t>
    </r>
    <r>
      <rPr>
        <b/>
        <sz val="12"/>
        <color theme="1"/>
        <rFont val="Calibri"/>
        <family val="2"/>
        <scheme val="minor"/>
      </rPr>
      <t xml:space="preserve"> (strictement plus grandes)</t>
    </r>
  </si>
  <si>
    <r>
      <t xml:space="preserve"> </t>
    </r>
    <r>
      <rPr>
        <b/>
        <sz val="12"/>
        <color rgb="FFC00000"/>
        <rFont val="Calibri"/>
        <family val="2"/>
        <scheme val="minor"/>
      </rPr>
      <t>&lt;=</t>
    </r>
    <r>
      <rPr>
        <b/>
        <sz val="12"/>
        <color theme="1"/>
        <rFont val="Calibri"/>
        <family val="2"/>
        <scheme val="minor"/>
      </rPr>
      <t xml:space="preserve"> (plus petites ou égales)</t>
    </r>
  </si>
  <si>
    <r>
      <t xml:space="preserve"> </t>
    </r>
    <r>
      <rPr>
        <b/>
        <sz val="12"/>
        <color rgb="FFC00000"/>
        <rFont val="Calibri"/>
        <family val="2"/>
        <scheme val="minor"/>
      </rPr>
      <t>&lt;</t>
    </r>
    <r>
      <rPr>
        <b/>
        <sz val="12"/>
        <color theme="1"/>
        <rFont val="Calibri"/>
        <family val="2"/>
        <scheme val="minor"/>
      </rPr>
      <t xml:space="preserve"> (strictement plus petites)</t>
    </r>
  </si>
  <si>
    <r>
      <t xml:space="preserve">" =NB.SI( </t>
    </r>
    <r>
      <rPr>
        <sz val="12"/>
        <color rgb="FF0070C0"/>
        <rFont val="Calibri"/>
        <family val="2"/>
        <scheme val="minor"/>
      </rPr>
      <t>$A$3:$A$12</t>
    </r>
    <r>
      <rPr>
        <sz val="12"/>
        <color theme="1"/>
        <rFont val="Calibri"/>
        <family val="2"/>
        <scheme val="minor"/>
      </rPr>
      <t xml:space="preserve"> ; </t>
    </r>
    <r>
      <rPr>
        <sz val="12"/>
        <color rgb="FFC00000"/>
        <rFont val="Calibri"/>
        <family val="2"/>
        <scheme val="minor"/>
      </rPr>
      <t>"&gt;="&amp;C4</t>
    </r>
    <r>
      <rPr>
        <sz val="12"/>
        <color theme="1"/>
        <rFont val="Calibri"/>
        <family val="2"/>
        <scheme val="minor"/>
      </rPr>
      <t xml:space="preserve"> )</t>
    </r>
  </si>
  <si>
    <r>
      <t xml:space="preserve">$A$3:$A$12 </t>
    </r>
    <r>
      <rPr>
        <sz val="12"/>
        <rFont val="Calibri"/>
        <family val="2"/>
        <scheme val="minor"/>
      </rPr>
      <t>est la plage de cellules où se trouvent les données</t>
    </r>
  </si>
  <si>
    <r>
      <t>Les "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$</t>
    </r>
    <r>
      <rPr>
        <sz val="12"/>
        <color theme="1"/>
        <rFont val="Calibri"/>
        <family val="2"/>
        <scheme val="minor"/>
      </rPr>
      <t xml:space="preserve"> " fixent la plage de données afin qu'elle ne bouge pas lors du copiage de la formule vers le bas.</t>
    </r>
  </si>
  <si>
    <r>
      <rPr>
        <sz val="12"/>
        <color rgb="FFC00000"/>
        <rFont val="Calibri"/>
        <family val="2"/>
        <scheme val="minor"/>
      </rPr>
      <t>"&gt;="&amp;C4</t>
    </r>
    <r>
      <rPr>
        <sz val="12"/>
        <color theme="1"/>
        <rFont val="Calibri"/>
        <family val="2"/>
        <scheme val="minor"/>
      </rPr>
      <t xml:space="preserve"> est la condition, ici "plus grande ou égale à 2", puisque 2 se trouve dans la cellule C4</t>
    </r>
  </si>
  <si>
    <t>Quelques statistiques descriptives relatives aux réponses</t>
  </si>
  <si>
    <r>
      <t xml:space="preserve">Utiliser </t>
    </r>
    <r>
      <rPr>
        <b/>
        <sz val="12"/>
        <color rgb="FF7030A0"/>
        <rFont val="Calibri"/>
        <family val="2"/>
        <scheme val="minor"/>
      </rPr>
      <t>F4</t>
    </r>
    <r>
      <rPr>
        <sz val="12"/>
        <color theme="1"/>
        <rFont val="Calibri"/>
        <family val="2"/>
        <scheme val="minor"/>
      </rPr>
      <t xml:space="preserve"> pour faire apparaître les " </t>
    </r>
    <r>
      <rPr>
        <b/>
        <sz val="12"/>
        <color rgb="FF7030A0"/>
        <rFont val="Calibri"/>
        <family val="2"/>
        <scheme val="minor"/>
      </rPr>
      <t>$</t>
    </r>
    <r>
      <rPr>
        <sz val="12"/>
        <color theme="1"/>
        <rFont val="Calibri"/>
        <family val="2"/>
        <scheme val="minor"/>
      </rPr>
      <t xml:space="preserve"> " rapidement.</t>
    </r>
  </si>
  <si>
    <r>
      <rPr>
        <b/>
        <sz val="12"/>
        <color theme="1"/>
        <rFont val="Calibri"/>
        <family val="2"/>
        <scheme val="minor"/>
      </rPr>
      <t>Interprétation</t>
    </r>
    <r>
      <rPr>
        <sz val="12"/>
        <color theme="1"/>
        <rFont val="Calibri"/>
        <family val="2"/>
        <scheme val="minor"/>
      </rPr>
      <t>: 9 valeurs sont plus grandes ou égales à 2 dans les données</t>
    </r>
  </si>
  <si>
    <t>prix opt tableau</t>
  </si>
  <si>
    <t>prix opt modèle tableau</t>
  </si>
  <si>
    <r>
      <rPr>
        <b/>
        <u/>
        <sz val="14"/>
        <color theme="1"/>
        <rFont val="Calibri"/>
        <family val="2"/>
        <scheme val="minor"/>
      </rPr>
      <t>Question de l'étude de marché*</t>
    </r>
    <r>
      <rPr>
        <sz val="14"/>
        <color theme="1"/>
        <rFont val="Calibri"/>
        <family val="2"/>
        <scheme val="minor"/>
      </rPr>
      <t>: Combien seriez-vous prêt à payer pour acheter un coupon vous permettant d'exclure votre pire note de la session du calcul de votre note finale?</t>
    </r>
  </si>
  <si>
    <t>(*) Remarque: ce coupon n'a jamais réellement été mis en marché! L'étude n'a été faite que sous forme de jeu, à des fins pédagogiques.</t>
  </si>
  <si>
    <t>Recettes (revenue) R</t>
  </si>
  <si>
    <t>prix p</t>
  </si>
  <si>
    <t>calcul max</t>
  </si>
  <si>
    <t>no d'équipe</t>
  </si>
  <si>
    <t>recettes R</t>
  </si>
  <si>
    <t>R max</t>
  </si>
  <si>
    <t>p optimal</t>
  </si>
  <si>
    <t>Considérez des prix allant de 0$ à 100$, par bonds de 2.50$.</t>
  </si>
  <si>
    <t>Considérez des prix allant de 0$ à 100$, par bonds de 5$.</t>
  </si>
  <si>
    <t>Considérez des prix allant de 0$ à 60$, par bonds de 2.50$.</t>
  </si>
  <si>
    <t>Considérez des prix allant de 0$ à 60$, par bonds de 10$.</t>
  </si>
  <si>
    <t>Considérez des prix allant de 0$ à 35$, par bonds de 1$.</t>
  </si>
  <si>
    <t>R^2</t>
  </si>
  <si>
    <t>matricule</t>
  </si>
  <si>
    <r>
      <rPr>
        <b/>
        <sz val="14"/>
        <color rgb="FF0070C0"/>
        <rFont val="Calibri"/>
        <family val="2"/>
        <scheme val="minor"/>
      </rPr>
      <t>Mon matricule est:</t>
    </r>
    <r>
      <rPr>
        <sz val="14"/>
        <color rgb="FF0070C0"/>
        <rFont val="Calibri"/>
        <family val="2"/>
        <scheme val="minor"/>
      </rPr>
      <t xml:space="preserve"> </t>
    </r>
  </si>
  <si>
    <r>
      <rPr>
        <b/>
        <sz val="14"/>
        <color rgb="FF0070C0"/>
        <rFont val="Calibri"/>
        <family val="2"/>
        <scheme val="minor"/>
      </rPr>
      <t>Mon numéro d'équipe est donc:</t>
    </r>
    <r>
      <rPr>
        <sz val="14"/>
        <color rgb="FF0070C0"/>
        <rFont val="Calibri"/>
        <family val="2"/>
        <scheme val="minor"/>
      </rPr>
      <t xml:space="preserve"> </t>
    </r>
  </si>
  <si>
    <t>Mon modèle est</t>
  </si>
  <si>
    <t>Quantile 90%</t>
  </si>
  <si>
    <t>Quantile 99%</t>
  </si>
  <si>
    <t>a)</t>
  </si>
  <si>
    <t>b)</t>
  </si>
  <si>
    <t>c)</t>
  </si>
  <si>
    <r>
      <t xml:space="preserve">Nombre d'étudiants qui auraient acheté le coupon si le prix avait été de </t>
    </r>
    <r>
      <rPr>
        <b/>
        <sz val="14"/>
        <color theme="1"/>
        <rFont val="Calibri"/>
        <family val="2"/>
        <scheme val="minor"/>
      </rPr>
      <t>3000$</t>
    </r>
  </si>
  <si>
    <r>
      <t xml:space="preserve">Nombre d'étudiants qui auraient acheté le coupon si le prix avait été de </t>
    </r>
    <r>
      <rPr>
        <b/>
        <sz val="14"/>
        <color theme="1"/>
        <rFont val="Calibri"/>
        <family val="2"/>
        <scheme val="minor"/>
      </rPr>
      <t>99.99$</t>
    </r>
  </si>
  <si>
    <t>Calcul de la quantité demandée et des recettes</t>
  </si>
  <si>
    <t>le symbole &amp; sert à joindre deux éléments, ici l'inégalité et la cellule de référence</t>
  </si>
  <si>
    <t>d)</t>
  </si>
  <si>
    <t>prix maximisant les recettes</t>
  </si>
  <si>
    <t>e)</t>
  </si>
  <si>
    <t>f)</t>
  </si>
  <si>
    <t>(sur la base du tableau ci-dessous)</t>
  </si>
  <si>
    <t>Faites ici un graphique de Q(p) en fonction de p</t>
  </si>
  <si>
    <t>Q1 (25%)</t>
  </si>
  <si>
    <t>Q2 = médiane (50%)</t>
  </si>
  <si>
    <t>Q3 (75%)</t>
  </si>
  <si>
    <t>Modélisation</t>
  </si>
  <si>
    <t xml:space="preserve">Nouvelle liste de prix: </t>
  </si>
  <si>
    <t>On recommence!</t>
  </si>
  <si>
    <t>Prix de vente maximisant les recettes:</t>
  </si>
  <si>
    <t>Résultats de la partie g)</t>
  </si>
  <si>
    <r>
      <t>R</t>
    </r>
    <r>
      <rPr>
        <vertAlign val="superscript"/>
        <sz val="10"/>
        <color theme="1"/>
        <rFont val="Calibri"/>
        <family val="2"/>
        <scheme val="minor"/>
      </rPr>
      <t>2</t>
    </r>
  </si>
  <si>
    <t>taille_plage</t>
  </si>
  <si>
    <t>recettes max</t>
  </si>
  <si>
    <t>position</t>
  </si>
  <si>
    <t>g)</t>
  </si>
  <si>
    <t>Résultats de la partie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</si>
</sst>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\ &quot;$&quot;_ ;_ * \(#,##0.00\)\ &quot;$&quot;_ ;_ * &quot;-&quot;??_)\ &quot;$&quot;_ ;_ @_ "/>
    <numFmt numFmtId="165" formatCode="#,##0.00\ &quot;$&quot;"/>
    <numFmt numFmtId="166" formatCode="0.000"/>
    <numFmt numFmtId="167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4" fontId="0" fillId="0" borderId="0" xfId="1" applyFont="1"/>
    <xf numFmtId="164" fontId="0" fillId="0" borderId="0" xfId="1" applyNumberFormat="1" applyFont="1"/>
    <xf numFmtId="2" fontId="0" fillId="0" borderId="0" xfId="0" applyNumberForma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0" fillId="3" borderId="5" xfId="0" applyNumberFormat="1" applyFont="1" applyFill="1" applyBorder="1" applyAlignment="1">
      <alignment horizontal="left"/>
    </xf>
    <xf numFmtId="0" fontId="0" fillId="3" borderId="6" xfId="0" applyFont="1" applyFill="1" applyBorder="1" applyAlignment="1">
      <alignment horizontal="center"/>
    </xf>
    <xf numFmtId="165" fontId="0" fillId="0" borderId="5" xfId="0" applyNumberFormat="1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3" fillId="0" borderId="0" xfId="0" applyFont="1"/>
    <xf numFmtId="0" fontId="7" fillId="7" borderId="9" xfId="0" applyFont="1" applyFill="1" applyBorder="1" applyAlignment="1">
      <alignment horizontal="center" vertical="center"/>
    </xf>
    <xf numFmtId="0" fontId="10" fillId="4" borderId="17" xfId="0" applyFont="1" applyFill="1" applyBorder="1"/>
    <xf numFmtId="0" fontId="10" fillId="4" borderId="20" xfId="0" applyFont="1" applyFill="1" applyBorder="1"/>
    <xf numFmtId="0" fontId="11" fillId="6" borderId="13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 wrapText="1"/>
    </xf>
    <xf numFmtId="2" fontId="10" fillId="6" borderId="16" xfId="0" applyNumberFormat="1" applyFont="1" applyFill="1" applyBorder="1"/>
    <xf numFmtId="2" fontId="10" fillId="6" borderId="18" xfId="0" applyNumberFormat="1" applyFont="1" applyFill="1" applyBorder="1"/>
    <xf numFmtId="0" fontId="11" fillId="6" borderId="13" xfId="0" applyFont="1" applyFill="1" applyBorder="1" applyAlignment="1">
      <alignment horizontal="center" vertical="center" wrapText="1"/>
    </xf>
    <xf numFmtId="0" fontId="10" fillId="4" borderId="16" xfId="0" applyFont="1" applyFill="1" applyBorder="1"/>
    <xf numFmtId="0" fontId="10" fillId="4" borderId="18" xfId="0" applyFont="1" applyFill="1" applyBorder="1"/>
    <xf numFmtId="0" fontId="18" fillId="7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2" fontId="19" fillId="7" borderId="0" xfId="1" applyNumberFormat="1" applyFont="1" applyFill="1" applyBorder="1" applyAlignment="1">
      <alignment horizontal="center"/>
    </xf>
    <xf numFmtId="0" fontId="20" fillId="0" borderId="0" xfId="0" applyFont="1" applyAlignment="1">
      <alignment wrapText="1"/>
    </xf>
    <xf numFmtId="2" fontId="10" fillId="7" borderId="0" xfId="1" applyNumberFormat="1" applyFont="1" applyFill="1" applyBorder="1" applyAlignment="1">
      <alignment horizontal="center"/>
    </xf>
    <xf numFmtId="0" fontId="10" fillId="6" borderId="13" xfId="0" applyFont="1" applyFill="1" applyBorder="1"/>
    <xf numFmtId="2" fontId="10" fillId="6" borderId="15" xfId="1" applyNumberFormat="1" applyFont="1" applyFill="1" applyBorder="1"/>
    <xf numFmtId="0" fontId="10" fillId="6" borderId="18" xfId="0" applyFont="1" applyFill="1" applyBorder="1"/>
    <xf numFmtId="2" fontId="10" fillId="6" borderId="20" xfId="1" applyNumberFormat="1" applyFont="1" applyFill="1" applyBorder="1"/>
    <xf numFmtId="0" fontId="10" fillId="6" borderId="16" xfId="0" applyFont="1" applyFill="1" applyBorder="1"/>
    <xf numFmtId="0" fontId="10" fillId="6" borderId="17" xfId="0" applyFont="1" applyFill="1" applyBorder="1"/>
    <xf numFmtId="2" fontId="10" fillId="6" borderId="17" xfId="1" applyNumberFormat="1" applyFont="1" applyFill="1" applyBorder="1"/>
    <xf numFmtId="0" fontId="20" fillId="0" borderId="0" xfId="0" applyFont="1"/>
    <xf numFmtId="0" fontId="11" fillId="0" borderId="0" xfId="0" applyFont="1"/>
    <xf numFmtId="2" fontId="10" fillId="0" borderId="0" xfId="0" applyNumberFormat="1" applyFont="1"/>
    <xf numFmtId="0" fontId="21" fillId="0" borderId="0" xfId="0" applyFont="1"/>
    <xf numFmtId="0" fontId="22" fillId="0" borderId="0" xfId="0" applyFont="1"/>
    <xf numFmtId="0" fontId="10" fillId="6" borderId="0" xfId="0" applyFont="1" applyFill="1" applyBorder="1"/>
    <xf numFmtId="2" fontId="10" fillId="6" borderId="11" xfId="0" applyNumberFormat="1" applyFont="1" applyFill="1" applyBorder="1"/>
    <xf numFmtId="2" fontId="10" fillId="6" borderId="12" xfId="0" applyNumberFormat="1" applyFont="1" applyFill="1" applyBorder="1"/>
    <xf numFmtId="0" fontId="11" fillId="6" borderId="10" xfId="0" applyFont="1" applyFill="1" applyBorder="1"/>
    <xf numFmtId="0" fontId="11" fillId="6" borderId="14" xfId="0" applyFont="1" applyFill="1" applyBorder="1"/>
    <xf numFmtId="0" fontId="11" fillId="6" borderId="15" xfId="0" applyFont="1" applyFill="1" applyBorder="1"/>
    <xf numFmtId="0" fontId="11" fillId="0" borderId="0" xfId="0" applyFont="1" applyAlignment="1"/>
    <xf numFmtId="0" fontId="0" fillId="0" borderId="0" xfId="0" applyFill="1"/>
    <xf numFmtId="0" fontId="17" fillId="0" borderId="0" xfId="0" applyFont="1" applyFill="1"/>
    <xf numFmtId="0" fontId="11" fillId="6" borderId="13" xfId="0" applyFont="1" applyFill="1" applyBorder="1"/>
    <xf numFmtId="0" fontId="10" fillId="6" borderId="19" xfId="0" applyFont="1" applyFill="1" applyBorder="1"/>
    <xf numFmtId="0" fontId="10" fillId="6" borderId="20" xfId="0" applyFont="1" applyFill="1" applyBorder="1"/>
    <xf numFmtId="2" fontId="10" fillId="6" borderId="17" xfId="0" applyNumberFormat="1" applyFont="1" applyFill="1" applyBorder="1"/>
    <xf numFmtId="2" fontId="10" fillId="6" borderId="20" xfId="0" applyNumberFormat="1" applyFont="1" applyFill="1" applyBorder="1"/>
    <xf numFmtId="0" fontId="10" fillId="4" borderId="0" xfId="0" applyFont="1" applyFill="1" applyProtection="1">
      <protection locked="0"/>
    </xf>
    <xf numFmtId="0" fontId="10" fillId="4" borderId="0" xfId="0" applyFont="1" applyFill="1" applyAlignment="1" applyProtection="1">
      <alignment horizontal="center"/>
      <protection locked="0"/>
    </xf>
    <xf numFmtId="2" fontId="10" fillId="4" borderId="15" xfId="1" applyNumberFormat="1" applyFont="1" applyFill="1" applyBorder="1" applyProtection="1">
      <protection locked="0"/>
    </xf>
    <xf numFmtId="0" fontId="10" fillId="4" borderId="16" xfId="0" applyFont="1" applyFill="1" applyBorder="1" applyProtection="1">
      <protection locked="0"/>
    </xf>
    <xf numFmtId="0" fontId="10" fillId="4" borderId="17" xfId="0" applyFont="1" applyFill="1" applyBorder="1" applyProtection="1">
      <protection locked="0"/>
    </xf>
    <xf numFmtId="0" fontId="10" fillId="4" borderId="18" xfId="0" applyFont="1" applyFill="1" applyBorder="1" applyProtection="1">
      <protection locked="0"/>
    </xf>
    <xf numFmtId="0" fontId="10" fillId="4" borderId="20" xfId="0" applyFont="1" applyFill="1" applyBorder="1" applyProtection="1">
      <protection locked="0"/>
    </xf>
    <xf numFmtId="2" fontId="10" fillId="4" borderId="20" xfId="1" applyNumberFormat="1" applyFont="1" applyFill="1" applyBorder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8" fillId="0" borderId="0" xfId="0" applyFont="1" applyProtection="1">
      <protection locked="0"/>
    </xf>
    <xf numFmtId="2" fontId="10" fillId="4" borderId="17" xfId="0" applyNumberFormat="1" applyFont="1" applyFill="1" applyBorder="1" applyProtection="1">
      <protection locked="0"/>
    </xf>
    <xf numFmtId="167" fontId="10" fillId="4" borderId="0" xfId="0" applyNumberFormat="1" applyFont="1" applyFill="1" applyBorder="1" applyProtection="1">
      <protection locked="0"/>
    </xf>
    <xf numFmtId="0" fontId="10" fillId="0" borderId="0" xfId="0" applyFont="1" applyFill="1" applyAlignment="1">
      <alignment horizontal="left" wrapText="1"/>
    </xf>
    <xf numFmtId="0" fontId="10" fillId="8" borderId="0" xfId="0" applyFont="1" applyFill="1" applyAlignment="1" applyProtection="1">
      <alignment horizontal="center"/>
    </xf>
    <xf numFmtId="0" fontId="20" fillId="0" borderId="0" xfId="0" applyFont="1" applyAlignment="1"/>
    <xf numFmtId="2" fontId="10" fillId="4" borderId="0" xfId="0" applyNumberFormat="1" applyFont="1" applyFill="1"/>
    <xf numFmtId="0" fontId="24" fillId="0" borderId="0" xfId="0" applyFont="1"/>
    <xf numFmtId="0" fontId="23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Protection="1">
      <protection locked="0"/>
    </xf>
    <xf numFmtId="2" fontId="10" fillId="4" borderId="0" xfId="0" applyNumberFormat="1" applyFont="1" applyFill="1" applyProtection="1">
      <protection locked="0"/>
    </xf>
    <xf numFmtId="0" fontId="22" fillId="0" borderId="0" xfId="0" applyFont="1" applyAlignment="1">
      <alignment horizontal="right" vertical="center"/>
    </xf>
    <xf numFmtId="166" fontId="22" fillId="0" borderId="0" xfId="0" applyNumberFormat="1" applyFont="1" applyAlignment="1">
      <alignment horizontal="left" vertical="center"/>
    </xf>
    <xf numFmtId="2" fontId="0" fillId="0" borderId="0" xfId="0" applyNumberFormat="1"/>
    <xf numFmtId="2" fontId="10" fillId="0" borderId="0" xfId="0" applyNumberFormat="1" applyFont="1" applyFill="1" applyBorder="1"/>
    <xf numFmtId="0" fontId="25" fillId="0" borderId="0" xfId="0" applyFont="1" applyAlignment="1"/>
    <xf numFmtId="0" fontId="25" fillId="0" borderId="0" xfId="0" applyFont="1"/>
    <xf numFmtId="0" fontId="25" fillId="0" borderId="0" xfId="0" applyFont="1" applyFill="1" applyAlignment="1">
      <alignment horizontal="right"/>
    </xf>
    <xf numFmtId="0" fontId="25" fillId="0" borderId="0" xfId="0" applyFont="1" applyProtection="1">
      <protection locked="0"/>
    </xf>
    <xf numFmtId="2" fontId="25" fillId="5" borderId="15" xfId="0" applyNumberFormat="1" applyFont="1" applyFill="1" applyBorder="1"/>
    <xf numFmtId="0" fontId="27" fillId="5" borderId="13" xfId="0" applyFont="1" applyFill="1" applyBorder="1"/>
    <xf numFmtId="0" fontId="27" fillId="5" borderId="18" xfId="0" applyFont="1" applyFill="1" applyBorder="1"/>
    <xf numFmtId="2" fontId="27" fillId="5" borderId="20" xfId="0" applyNumberFormat="1" applyFont="1" applyFill="1" applyBorder="1"/>
    <xf numFmtId="0" fontId="10" fillId="6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/>
    </xf>
    <xf numFmtId="0" fontId="10" fillId="6" borderId="0" xfId="0" applyFont="1" applyFill="1" applyAlignment="1">
      <alignment horizontal="left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39">
    <dxf>
      <numFmt numFmtId="164" formatCode="_ * #,##0.00_)\ &quot;$&quot;_ ;_ * \(#,##0.00\)\ &quot;$&quot;_ ;_ * &quot;-&quot;??_)\ &quot;$&quot;_ ;_ @_ "/>
    </dxf>
    <dxf>
      <numFmt numFmtId="2" formatCode="0.00"/>
      <alignment horizontal="center" vertical="bottom" textRotation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rgb="FFC00000"/>
      </font>
    </dxf>
    <dxf>
      <font>
        <color theme="7" tint="0.79998168889431442"/>
      </font>
    </dxf>
    <dxf>
      <font>
        <b/>
        <i val="0"/>
        <color rgb="FFC00000"/>
      </font>
    </dxf>
    <dxf>
      <font>
        <b/>
        <i val="0"/>
        <color rgb="FFC00000"/>
      </font>
      <fill>
        <patternFill patternType="solid">
          <bgColor rgb="FFFFC1C1"/>
        </patternFill>
      </fill>
    </dxf>
    <dxf>
      <font>
        <b/>
        <i val="0"/>
        <color rgb="FFC00000"/>
      </font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</dxf>
  </dxfs>
  <tableStyles count="0" defaultTableStyle="TableStyleMedium2" defaultPivotStyle="PivotStyleLight16"/>
  <colors>
    <mruColors>
      <color rgb="FFFBAB35"/>
      <color rgb="FFFFC1C1"/>
      <color rgb="FFF22CE4"/>
      <color rgb="FF22F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[0]!prix2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[0]!recettes2</c:f>
              <c:numCache>
                <c:formatCode>General</c:formatCode>
                <c:ptCount val="13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A-4C5C-9B8B-EB594D9D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1352"/>
        <c:axId val="417928408"/>
      </c:scatterChart>
      <c:valAx>
        <c:axId val="41792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28408"/>
        <c:crosses val="autoZero"/>
        <c:crossBetween val="midCat"/>
      </c:valAx>
      <c:valAx>
        <c:axId val="41792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Recettes 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2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Modèle des recettes en fonction du prix de vente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fonction des recettes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'g)'!$A$4:$A$72</c:f>
              <c:numCache>
                <c:formatCode>0.00</c:formatCode>
                <c:ptCount val="6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  <c:pt idx="30">
                  <c:v>16</c:v>
                </c:pt>
                <c:pt idx="31">
                  <c:v>16.5</c:v>
                </c:pt>
                <c:pt idx="32">
                  <c:v>17</c:v>
                </c:pt>
                <c:pt idx="33">
                  <c:v>17.5</c:v>
                </c:pt>
                <c:pt idx="34">
                  <c:v>18</c:v>
                </c:pt>
                <c:pt idx="35">
                  <c:v>18.5</c:v>
                </c:pt>
                <c:pt idx="36">
                  <c:v>19</c:v>
                </c:pt>
                <c:pt idx="37">
                  <c:v>19.5</c:v>
                </c:pt>
                <c:pt idx="38">
                  <c:v>20</c:v>
                </c:pt>
                <c:pt idx="39">
                  <c:v>20.5</c:v>
                </c:pt>
                <c:pt idx="40">
                  <c:v>21</c:v>
                </c:pt>
                <c:pt idx="41">
                  <c:v>21.5</c:v>
                </c:pt>
                <c:pt idx="42">
                  <c:v>22</c:v>
                </c:pt>
                <c:pt idx="43">
                  <c:v>22.5</c:v>
                </c:pt>
                <c:pt idx="44">
                  <c:v>23</c:v>
                </c:pt>
                <c:pt idx="45">
                  <c:v>23.5</c:v>
                </c:pt>
                <c:pt idx="46">
                  <c:v>24</c:v>
                </c:pt>
                <c:pt idx="47">
                  <c:v>24.5</c:v>
                </c:pt>
                <c:pt idx="48">
                  <c:v>25</c:v>
                </c:pt>
                <c:pt idx="49">
                  <c:v>25.5</c:v>
                </c:pt>
                <c:pt idx="50">
                  <c:v>26</c:v>
                </c:pt>
                <c:pt idx="51">
                  <c:v>26.5</c:v>
                </c:pt>
                <c:pt idx="52">
                  <c:v>27</c:v>
                </c:pt>
                <c:pt idx="53">
                  <c:v>27.5</c:v>
                </c:pt>
                <c:pt idx="54">
                  <c:v>28</c:v>
                </c:pt>
                <c:pt idx="55">
                  <c:v>28.5</c:v>
                </c:pt>
                <c:pt idx="56">
                  <c:v>29</c:v>
                </c:pt>
                <c:pt idx="57">
                  <c:v>29.5</c:v>
                </c:pt>
                <c:pt idx="58">
                  <c:v>30</c:v>
                </c:pt>
                <c:pt idx="59">
                  <c:v>30.5</c:v>
                </c:pt>
                <c:pt idx="60">
                  <c:v>31</c:v>
                </c:pt>
                <c:pt idx="61">
                  <c:v>31.5</c:v>
                </c:pt>
                <c:pt idx="62">
                  <c:v>32</c:v>
                </c:pt>
                <c:pt idx="63">
                  <c:v>32.5</c:v>
                </c:pt>
                <c:pt idx="64">
                  <c:v>33</c:v>
                </c:pt>
                <c:pt idx="65">
                  <c:v>33.5</c:v>
                </c:pt>
                <c:pt idx="66">
                  <c:v>34</c:v>
                </c:pt>
                <c:pt idx="67">
                  <c:v>34.5</c:v>
                </c:pt>
                <c:pt idx="68">
                  <c:v>35</c:v>
                </c:pt>
              </c:numCache>
            </c:numRef>
          </c:xVal>
          <c:yVal>
            <c:numRef>
              <c:f>'g)'!$C$4:$C$72</c:f>
              <c:numCache>
                <c:formatCode>0.00</c:formatCode>
                <c:ptCount val="6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5-4498-A64E-2DB789B890B3}"/>
            </c:ext>
          </c:extLst>
        </c:ser>
        <c:ser>
          <c:idx val="1"/>
          <c:order val="1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Feuil2!$AA$2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xVal>
          <c:yVal>
            <c:numRef>
              <c:f>Feuil2!$AB$2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25-4498-A64E-2DB789B89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4320"/>
        <c:axId val="504923536"/>
      </c:scatterChart>
      <c:valAx>
        <c:axId val="50492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Prix de vente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3536"/>
        <c:crosses val="autoZero"/>
        <c:crossBetween val="midCat"/>
      </c:valAx>
      <c:valAx>
        <c:axId val="5049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Recettes R (calculée avec le modèle)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2541666666666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Feuil2!$AK$9:$AK$49</c:f>
              <c:numCache>
                <c:formatCode>General</c:formatCode>
                <c:ptCount val="4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F9-4E73-A82E-C17105CDB0D8}"/>
            </c:ext>
          </c:extLst>
        </c:ser>
        <c:ser>
          <c:idx val="1"/>
          <c:order val="1"/>
          <c:tx>
            <c:v>modèle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Feuil2!$AM$9:$AM$49</c:f>
              <c:numCache>
                <c:formatCode>General</c:formatCode>
                <c:ptCount val="41"/>
                <c:pt idx="0">
                  <c:v>0</c:v>
                </c:pt>
                <c:pt idx="1">
                  <c:v>530.21980635888201</c:v>
                </c:pt>
                <c:pt idx="2">
                  <c:v>777.77620620750827</c:v>
                </c:pt>
                <c:pt idx="3">
                  <c:v>855.68638659985811</c:v>
                </c:pt>
                <c:pt idx="4">
                  <c:v>836.80076764563512</c:v>
                </c:pt>
                <c:pt idx="5">
                  <c:v>767.18621999479967</c:v>
                </c:pt>
                <c:pt idx="6">
                  <c:v>675.22847749488471</c:v>
                </c:pt>
                <c:pt idx="7">
                  <c:v>577.78498350368147</c:v>
                </c:pt>
                <c:pt idx="8">
                  <c:v>484.31387143185873</c:v>
                </c:pt>
                <c:pt idx="9">
                  <c:v>399.6208517162608</c:v>
                </c:pt>
                <c:pt idx="10">
                  <c:v>325.66744148338836</c:v>
                </c:pt>
                <c:pt idx="11">
                  <c:v>262.74577306707732</c:v>
                </c:pt>
                <c:pt idx="12">
                  <c:v>210.22918638201358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F9-4E73-A82E-C17105CDB0D8}"/>
            </c:ext>
          </c:extLst>
        </c:ser>
        <c:ser>
          <c:idx val="2"/>
          <c:order val="2"/>
          <c:tx>
            <c:v>optimum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138998250218723E-2"/>
                  <c:y val="-8.77894429862933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4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074BD75-9B5F-4896-9F96-475196EA1805}" type="CELLRANGE">
                      <a:rPr lang="en-US"/>
                      <a:pPr algn="l">
                        <a:defRPr sz="1400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14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9319444444444434"/>
                      <c:h val="0.14780110819480899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FF9-4E73-A82E-C17105CDB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Feuil2!$AM$5</c:f>
              <c:numCache>
                <c:formatCode>General</c:formatCode>
                <c:ptCount val="1"/>
                <c:pt idx="0">
                  <c:v>16.129032258064516</c:v>
                </c:pt>
              </c:numCache>
            </c:numRef>
          </c:xVal>
          <c:yVal>
            <c:numRef>
              <c:f>Feuil2!$AM$6</c:f>
              <c:numCache>
                <c:formatCode>General</c:formatCode>
                <c:ptCount val="1"/>
                <c:pt idx="0">
                  <c:v>857.88892327242979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Feuil2!$AK$4</c15:f>
                <c15:dlblRangeCache>
                  <c:ptCount val="1"/>
                  <c:pt idx="0">
                    <c:v>recettes max = 858, pour le prix p = 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FF9-4E73-A82E-C17105CDB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3144"/>
        <c:axId val="504922752"/>
      </c:scatterChart>
      <c:valAx>
        <c:axId val="50492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2752"/>
        <c:crosses val="autoZero"/>
        <c:crossBetween val="midCat"/>
      </c:valAx>
      <c:valAx>
        <c:axId val="5049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Recettes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Quantité demandée en fonction du prix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Feuil2!$AJ$9:$AJ$49</c:f>
              <c:numCache>
                <c:formatCode>General</c:formatCode>
                <c:ptCount val="4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2-4550-A922-4EE5EF0DA7F9}"/>
            </c:ext>
          </c:extLst>
        </c:ser>
        <c:ser>
          <c:idx val="1"/>
          <c:order val="1"/>
          <c:tx>
            <c:v>modèle</c:v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Feuil2!$AL$9:$AL$49</c:f>
              <c:numCache>
                <c:formatCode>General</c:formatCode>
                <c:ptCount val="41"/>
                <c:pt idx="0">
                  <c:v>144.583</c:v>
                </c:pt>
                <c:pt idx="1">
                  <c:v>106.04396127177641</c:v>
                </c:pt>
                <c:pt idx="2">
                  <c:v>77.777620620750824</c:v>
                </c:pt>
                <c:pt idx="3">
                  <c:v>57.045759106657208</c:v>
                </c:pt>
                <c:pt idx="4">
                  <c:v>41.840038382281755</c:v>
                </c:pt>
                <c:pt idx="5">
                  <c:v>30.687448799791987</c:v>
                </c:pt>
                <c:pt idx="6">
                  <c:v>22.507615916496157</c:v>
                </c:pt>
                <c:pt idx="7">
                  <c:v>16.508142385819472</c:v>
                </c:pt>
                <c:pt idx="8">
                  <c:v>12.107846785796468</c:v>
                </c:pt>
                <c:pt idx="9">
                  <c:v>8.8804633714724623</c:v>
                </c:pt>
                <c:pt idx="10">
                  <c:v>6.5133488296677671</c:v>
                </c:pt>
                <c:pt idx="11">
                  <c:v>4.7771958739468605</c:v>
                </c:pt>
                <c:pt idx="12">
                  <c:v>3.5038197730335598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2-4550-A922-4EE5EF0DA7F9}"/>
            </c:ext>
          </c:extLst>
        </c:ser>
        <c:ser>
          <c:idx val="2"/>
          <c:order val="2"/>
          <c:tx>
            <c:v>équation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B6065B2-3F6F-4973-B5F1-58B022A6AE4B}" type="CELLRANGE">
                      <a:rPr lang="en-US"/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5A2-4550-A922-4EE5EF0DA7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Feuil2!$AL$4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Feuil2!$AM$4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Feuil2!$AI$4</c15:f>
                <c15:dlblRangeCache>
                  <c:ptCount val="1"/>
                  <c:pt idx="0">
                    <c:v>Q(p) = 144.583 e( -0.062 p 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5A2-4550-A922-4EE5EF0DA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2360"/>
        <c:axId val="504921576"/>
      </c:scatterChart>
      <c:valAx>
        <c:axId val="50492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1576"/>
        <c:crosses val="autoZero"/>
        <c:crossBetween val="midCat"/>
      </c:valAx>
      <c:valAx>
        <c:axId val="50492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Quantitée demandée Q(p)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Quantitée demandée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Feuil2!$AJ$9:$AJ$49</c:f>
              <c:numCache>
                <c:formatCode>General</c:formatCode>
                <c:ptCount val="4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B-4085-B205-EF079E9871BE}"/>
            </c:ext>
          </c:extLst>
        </c:ser>
        <c:ser>
          <c:idx val="1"/>
          <c:order val="1"/>
          <c:tx>
            <c:v>modèle</c:v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Feuil2!$AL$9:$AL$49</c:f>
              <c:numCache>
                <c:formatCode>General</c:formatCode>
                <c:ptCount val="41"/>
                <c:pt idx="0">
                  <c:v>144.583</c:v>
                </c:pt>
                <c:pt idx="1">
                  <c:v>106.04396127177641</c:v>
                </c:pt>
                <c:pt idx="2">
                  <c:v>77.777620620750824</c:v>
                </c:pt>
                <c:pt idx="3">
                  <c:v>57.045759106657208</c:v>
                </c:pt>
                <c:pt idx="4">
                  <c:v>41.840038382281755</c:v>
                </c:pt>
                <c:pt idx="5">
                  <c:v>30.687448799791987</c:v>
                </c:pt>
                <c:pt idx="6">
                  <c:v>22.507615916496157</c:v>
                </c:pt>
                <c:pt idx="7">
                  <c:v>16.508142385819472</c:v>
                </c:pt>
                <c:pt idx="8">
                  <c:v>12.107846785796468</c:v>
                </c:pt>
                <c:pt idx="9">
                  <c:v>8.8804633714724623</c:v>
                </c:pt>
                <c:pt idx="10">
                  <c:v>6.5133488296677671</c:v>
                </c:pt>
                <c:pt idx="11">
                  <c:v>4.7771958739468605</c:v>
                </c:pt>
                <c:pt idx="12">
                  <c:v>3.5038197730335598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B-4085-B205-EF079E9871BE}"/>
            </c:ext>
          </c:extLst>
        </c:ser>
        <c:ser>
          <c:idx val="2"/>
          <c:order val="2"/>
          <c:tx>
            <c:v>équation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578E64E-BF2F-43C1-A751-393369AAF9A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C1B-4085-B205-EF079E987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Feuil2!$AL$4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Feuil2!$AM$4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Feuil2!$AI$4</c15:f>
                <c15:dlblRangeCache>
                  <c:ptCount val="1"/>
                  <c:pt idx="0">
                    <c:v>Q(p) = 144.583 e( -0.062 p 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1C1B-4085-B205-EF079E987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1184"/>
        <c:axId val="504920400"/>
      </c:scatterChart>
      <c:valAx>
        <c:axId val="50492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0400"/>
        <c:crosses val="autoZero"/>
        <c:crossBetween val="midCat"/>
      </c:valAx>
      <c:valAx>
        <c:axId val="5049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Quantitée demandée Q(p)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Feuil2!$AK$9:$AK$49</c:f>
              <c:numCache>
                <c:formatCode>General</c:formatCode>
                <c:ptCount val="4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5D-42DF-A5A3-BFD8C37881BB}"/>
            </c:ext>
          </c:extLst>
        </c:ser>
        <c:ser>
          <c:idx val="1"/>
          <c:order val="1"/>
          <c:tx>
            <c:v>modèle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Feuil2!$AM$9:$AM$49</c:f>
              <c:numCache>
                <c:formatCode>General</c:formatCode>
                <c:ptCount val="41"/>
                <c:pt idx="0">
                  <c:v>0</c:v>
                </c:pt>
                <c:pt idx="1">
                  <c:v>530.21980635888201</c:v>
                </c:pt>
                <c:pt idx="2">
                  <c:v>777.77620620750827</c:v>
                </c:pt>
                <c:pt idx="3">
                  <c:v>855.68638659985811</c:v>
                </c:pt>
                <c:pt idx="4">
                  <c:v>836.80076764563512</c:v>
                </c:pt>
                <c:pt idx="5">
                  <c:v>767.18621999479967</c:v>
                </c:pt>
                <c:pt idx="6">
                  <c:v>675.22847749488471</c:v>
                </c:pt>
                <c:pt idx="7">
                  <c:v>577.78498350368147</c:v>
                </c:pt>
                <c:pt idx="8">
                  <c:v>484.31387143185873</c:v>
                </c:pt>
                <c:pt idx="9">
                  <c:v>399.6208517162608</c:v>
                </c:pt>
                <c:pt idx="10">
                  <c:v>325.66744148338836</c:v>
                </c:pt>
                <c:pt idx="11">
                  <c:v>262.74577306707732</c:v>
                </c:pt>
                <c:pt idx="12">
                  <c:v>210.22918638201358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5D-42DF-A5A3-BFD8C37881BB}"/>
            </c:ext>
          </c:extLst>
        </c:ser>
        <c:ser>
          <c:idx val="2"/>
          <c:order val="2"/>
          <c:tx>
            <c:v>optimum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138998250218723E-2"/>
                  <c:y val="-8.77894429862933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4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BE785F-942D-4581-B9E8-004F92ABBD92}" type="CELLRANGE">
                      <a:rPr lang="en-US"/>
                      <a:pPr algn="l">
                        <a:defRPr sz="1400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14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9319444444444434"/>
                      <c:h val="0.14780110819480899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55D-42DF-A5A3-BFD8C37881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Feuil2!$AM$5</c:f>
              <c:numCache>
                <c:formatCode>General</c:formatCode>
                <c:ptCount val="1"/>
                <c:pt idx="0">
                  <c:v>16.129032258064516</c:v>
                </c:pt>
              </c:numCache>
            </c:numRef>
          </c:xVal>
          <c:yVal>
            <c:numRef>
              <c:f>Feuil2!$AM$6</c:f>
              <c:numCache>
                <c:formatCode>General</c:formatCode>
                <c:ptCount val="1"/>
                <c:pt idx="0">
                  <c:v>857.88892327242979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Feuil2!$AK$4</c15:f>
                <c15:dlblRangeCache>
                  <c:ptCount val="1"/>
                  <c:pt idx="0">
                    <c:v>recettes max = 858, pour le prix p = 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955D-42DF-A5A3-BFD8C378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0792"/>
        <c:axId val="424418640"/>
      </c:scatterChart>
      <c:valAx>
        <c:axId val="504920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8640"/>
        <c:crosses val="autoZero"/>
        <c:crossBetween val="midCat"/>
      </c:valAx>
      <c:valAx>
        <c:axId val="4244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Recettes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Linéaire par morceaux (nuage de pts avec lignes</a:t>
            </a:r>
            <a:r>
              <a:rPr lang="fr-CA" baseline="0"/>
              <a:t> droites)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F-4656-A55E-892E89B41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18248"/>
        <c:axId val="424416288"/>
      </c:scatterChart>
      <c:valAx>
        <c:axId val="42441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6288"/>
        <c:crosses val="autoZero"/>
        <c:crossBetween val="midCat"/>
      </c:valAx>
      <c:valAx>
        <c:axId val="4244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8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Spline cubique (nuage</a:t>
            </a:r>
            <a:r>
              <a:rPr lang="fr-CA" baseline="0"/>
              <a:t> de pts avec courbes lissées</a:t>
            </a:r>
            <a:r>
              <a:rPr lang="fr-CA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91-4B38-9614-270973B26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85496"/>
        <c:axId val="416985104"/>
      </c:scatterChart>
      <c:valAx>
        <c:axId val="41698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85104"/>
        <c:crosses val="autoZero"/>
        <c:crossBetween val="midCat"/>
      </c:valAx>
      <c:valAx>
        <c:axId val="4169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8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Courbes</a:t>
            </a:r>
            <a:r>
              <a:rPr lang="fr-CA" baseline="0"/>
              <a:t> de tendance 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8690310586176728"/>
                  <c:y val="0.38654564012831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0.08x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- 4.925x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+ 82x + 328.12</a:t>
                    </a:r>
                    <a:br>
                      <a:rPr lang="en-US" baseline="0">
                        <a:solidFill>
                          <a:srgbClr val="FF0000"/>
                        </a:solidFill>
                      </a:rPr>
                    </a:br>
                    <a:r>
                      <a:rPr lang="en-US" baseline="0">
                        <a:solidFill>
                          <a:srgbClr val="FF0000"/>
                        </a:solidFill>
                      </a:rPr>
                      <a:t>R² = 1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99798296917065"/>
                  <c:y val="0.107827552887481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C000"/>
                        </a:solidFill>
                      </a:rPr>
                      <a:t>y = -2.6x + 674.5</a:t>
                    </a:r>
                    <a:br>
                      <a:rPr lang="en-US" baseline="0">
                        <a:solidFill>
                          <a:srgbClr val="FFC000"/>
                        </a:solidFill>
                      </a:rPr>
                    </a:br>
                    <a:r>
                      <a:rPr lang="en-US" baseline="0">
                        <a:solidFill>
                          <a:srgbClr val="FFC000"/>
                        </a:solidFill>
                      </a:rPr>
                      <a:t>R² = 0.2177</a:t>
                    </a:r>
                    <a:endParaRPr lang="en-US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66399979745297"/>
                  <c:y val="0.231252098709593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-0.125x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+ 2.4x + 640.13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0.258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97-4F31-93BE-F4B3550F8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096"/>
        <c:axId val="502464776"/>
      </c:scatterChart>
      <c:valAx>
        <c:axId val="41413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64776"/>
        <c:crosses val="autoZero"/>
        <c:crossBetween val="midCat"/>
      </c:valAx>
      <c:valAx>
        <c:axId val="50246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3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(nuage de pts avec lignes)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B-4ECA-A40A-F8B5C16B4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7208"/>
        <c:axId val="421687600"/>
      </c:scatterChart>
      <c:valAx>
        <c:axId val="421687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7600"/>
        <c:crosses val="autoZero"/>
        <c:crossBetween val="midCat"/>
      </c:valAx>
      <c:valAx>
        <c:axId val="4216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(nuage de pts avec lissage)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9-47DA-961B-F60144804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8384"/>
        <c:axId val="421688776"/>
      </c:scatterChart>
      <c:valAx>
        <c:axId val="42168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8776"/>
        <c:crosses val="autoZero"/>
        <c:crossBetween val="midCat"/>
      </c:valAx>
      <c:valAx>
        <c:axId val="42168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(courbes de tendance)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065455148738529E-2"/>
                  <c:y val="-0.54281034608593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BAB3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356670367581706E-2"/>
                  <c:y val="-0.39123972205191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BAB3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546472007044499"/>
                  <c:y val="-0.126545304014066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22CE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22CE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8E-4C6F-A5F0-25A89B01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9560"/>
        <c:axId val="421689952"/>
      </c:scatterChart>
      <c:valAx>
        <c:axId val="42168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9952"/>
        <c:crosses val="autoZero"/>
        <c:crossBetween val="midCat"/>
      </c:valAx>
      <c:valAx>
        <c:axId val="4216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9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Demande (courbes</a:t>
            </a:r>
            <a:r>
              <a:rPr lang="en-US" baseline="0"/>
              <a:t> de tendance)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9732306597821319E-2"/>
          <c:y val="0.13161616161616171"/>
          <c:w val="0.87766939102843411"/>
          <c:h val="0.70929213393780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Demande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8044729986289371"/>
                  <c:y val="-0.32544473559381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935560586669936"/>
                  <c:y val="-0.65495950261654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6BB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2041198662718356"/>
                  <c:y val="-0.39904318114366777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6BB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7373125057997893"/>
                  <c:y val="-0.250987638975909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4'!$B$2:$B$41</c:f>
              <c:numCache>
                <c:formatCode>General</c:formatCode>
                <c:ptCount val="40"/>
                <c:pt idx="0">
                  <c:v>132</c:v>
                </c:pt>
                <c:pt idx="1">
                  <c:v>125</c:v>
                </c:pt>
                <c:pt idx="2">
                  <c:v>84</c:v>
                </c:pt>
                <c:pt idx="3">
                  <c:v>80</c:v>
                </c:pt>
                <c:pt idx="4">
                  <c:v>50</c:v>
                </c:pt>
                <c:pt idx="5">
                  <c:v>48</c:v>
                </c:pt>
                <c:pt idx="6">
                  <c:v>39</c:v>
                </c:pt>
                <c:pt idx="7">
                  <c:v>39</c:v>
                </c:pt>
                <c:pt idx="8">
                  <c:v>25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03-45D1-9329-4B0663D5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0736"/>
        <c:axId val="421691128"/>
      </c:scatterChart>
      <c:valAx>
        <c:axId val="42169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1128"/>
        <c:crosses val="autoZero"/>
        <c:crossBetween val="midCat"/>
      </c:valAx>
      <c:valAx>
        <c:axId val="42169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</a:t>
            </a:r>
            <a:r>
              <a:rPr lang="fr-CA" baseline="0"/>
              <a:t> et demande estimés (fonction exponentielle)</a:t>
            </a:r>
            <a:endParaRPr lang="fr-CA"/>
          </a:p>
        </c:rich>
      </c:tx>
      <c:layout>
        <c:manualLayout>
          <c:xMode val="edge"/>
          <c:yMode val="edge"/>
          <c:x val="0.17473559961081245"/>
          <c:y val="1.55264411013014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'Question 5'!$E$1</c:f>
              <c:strCache>
                <c:ptCount val="1"/>
                <c:pt idx="0">
                  <c:v>Revenu estimé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'Question 5'!$A$2:$A$41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5'!$E$2:$E$41</c:f>
              <c:numCache>
                <c:formatCode>_ * #,##0.00_)\ "$"_ ;_ * \(#,##0.00\)\ "$"_ ;_ * "-"??_)\ "$"_ ;_ @_ </c:formatCode>
                <c:ptCount val="40"/>
                <c:pt idx="0">
                  <c:v>163.6194882098975</c:v>
                </c:pt>
                <c:pt idx="1">
                  <c:v>296.09807050441754</c:v>
                </c:pt>
                <c:pt idx="2">
                  <c:v>401.88092040097001</c:v>
                </c:pt>
                <c:pt idx="3">
                  <c:v>484.84919249803829</c:v>
                </c:pt>
                <c:pt idx="4">
                  <c:v>548.38711434593108</c:v>
                </c:pt>
                <c:pt idx="5">
                  <c:v>595.44141675475544</c:v>
                </c:pt>
                <c:pt idx="6">
                  <c:v>628.57395314938776</c:v>
                </c:pt>
                <c:pt idx="7">
                  <c:v>650.00826607125509</c:v>
                </c:pt>
                <c:pt idx="8">
                  <c:v>661.67077632068879</c:v>
                </c:pt>
                <c:pt idx="9">
                  <c:v>665.22719648428983</c:v>
                </c:pt>
                <c:pt idx="10">
                  <c:v>662.11470476155932</c:v>
                </c:pt>
                <c:pt idx="11">
                  <c:v>653.57035625464482</c:v>
                </c:pt>
                <c:pt idx="12">
                  <c:v>640.65615646315291</c:v>
                </c:pt>
                <c:pt idx="13">
                  <c:v>624.28117496011168</c:v>
                </c:pt>
                <c:pt idx="14">
                  <c:v>605.22103551360294</c:v>
                </c:pt>
                <c:pt idx="15">
                  <c:v>584.13508172285674</c:v>
                </c:pt>
                <c:pt idx="16">
                  <c:v>561.58148407597992</c:v>
                </c:pt>
                <c:pt idx="17">
                  <c:v>538.03052477800088</c:v>
                </c:pt>
                <c:pt idx="18">
                  <c:v>513.87627035713979</c:v>
                </c:pt>
                <c:pt idx="19">
                  <c:v>489.44681858937173</c:v>
                </c:pt>
                <c:pt idx="20">
                  <c:v>465.01328537823787</c:v>
                </c:pt>
                <c:pt idx="21">
                  <c:v>440.79767861282841</c:v>
                </c:pt>
                <c:pt idx="22">
                  <c:v>416.97978945556162</c:v>
                </c:pt>
                <c:pt idx="23">
                  <c:v>393.70321676258976</c:v>
                </c:pt>
                <c:pt idx="24">
                  <c:v>371.08062721657654</c:v>
                </c:pt>
                <c:pt idx="25">
                  <c:v>349.19834207836396</c:v>
                </c:pt>
                <c:pt idx="26">
                  <c:v>328.12033108357173</c:v>
                </c:pt>
                <c:pt idx="27">
                  <c:v>307.8916847821248</c:v>
                </c:pt>
                <c:pt idx="28">
                  <c:v>288.54162841774939</c:v>
                </c:pt>
                <c:pt idx="29">
                  <c:v>270.08613315869752</c:v>
                </c:pt>
                <c:pt idx="30">
                  <c:v>252.53017402045327</c:v>
                </c:pt>
                <c:pt idx="31">
                  <c:v>235.86967807673653</c:v>
                </c:pt>
                <c:pt idx="32">
                  <c:v>220.09320145717493</c:v>
                </c:pt>
                <c:pt idx="33">
                  <c:v>205.18336910752939</c:v>
                </c:pt>
                <c:pt idx="34">
                  <c:v>191.11810727797547</c:v>
                </c:pt>
                <c:pt idx="35">
                  <c:v>177.87169515016063</c:v>
                </c:pt>
                <c:pt idx="36">
                  <c:v>165.41565886416595</c:v>
                </c:pt>
                <c:pt idx="37">
                  <c:v>153.71952841718976</c:v>
                </c:pt>
                <c:pt idx="38">
                  <c:v>142.75147543668155</c:v>
                </c:pt>
                <c:pt idx="39">
                  <c:v>132.47884764610319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19-485B-9E2D-E877B6EDE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1912"/>
        <c:axId val="421692304"/>
      </c:scatterChart>
      <c:scatterChart>
        <c:scatterStyle val="smoothMarker"/>
        <c:varyColors val="0"/>
        <c:ser>
          <c:idx val="0"/>
          <c:order val="0"/>
          <c:tx>
            <c:strRef>
              <c:f>'Question 5'!$D$1</c:f>
              <c:strCache>
                <c:ptCount val="1"/>
                <c:pt idx="0">
                  <c:v>Demande estimée (exponentielle)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5'!$A$2:$A$41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5'!$D$2:$D$41</c:f>
              <c:numCache>
                <c:formatCode>0.00</c:formatCode>
                <c:ptCount val="40"/>
                <c:pt idx="0">
                  <c:v>65.447795283958996</c:v>
                </c:pt>
                <c:pt idx="1">
                  <c:v>59.219614100883504</c:v>
                </c:pt>
                <c:pt idx="2">
                  <c:v>53.584122720129336</c:v>
                </c:pt>
                <c:pt idx="3">
                  <c:v>48.484919249803831</c:v>
                </c:pt>
                <c:pt idx="4">
                  <c:v>43.870969147674487</c:v>
                </c:pt>
                <c:pt idx="5">
                  <c:v>39.696094450317027</c:v>
                </c:pt>
                <c:pt idx="6">
                  <c:v>35.918511608536441</c:v>
                </c:pt>
                <c:pt idx="7">
                  <c:v>32.500413303562752</c:v>
                </c:pt>
                <c:pt idx="8">
                  <c:v>29.407590058697277</c:v>
                </c:pt>
                <c:pt idx="9">
                  <c:v>26.609087859371595</c:v>
                </c:pt>
                <c:pt idx="10">
                  <c:v>24.076898354965792</c:v>
                </c:pt>
                <c:pt idx="11">
                  <c:v>21.785678541821493</c:v>
                </c:pt>
                <c:pt idx="12">
                  <c:v>19.712497121943166</c:v>
                </c:pt>
                <c:pt idx="13">
                  <c:v>17.836604998860334</c:v>
                </c:pt>
                <c:pt idx="14">
                  <c:v>16.139227613696079</c:v>
                </c:pt>
                <c:pt idx="15">
                  <c:v>14.603377043071418</c:v>
                </c:pt>
                <c:pt idx="16">
                  <c:v>13.213681978258352</c:v>
                </c:pt>
                <c:pt idx="17">
                  <c:v>11.956233883955576</c:v>
                </c:pt>
                <c:pt idx="18">
                  <c:v>10.818447796992416</c:v>
                </c:pt>
                <c:pt idx="19">
                  <c:v>9.7889363717874343</c:v>
                </c:pt>
                <c:pt idx="20">
                  <c:v>8.8573959119664352</c:v>
                </c:pt>
                <c:pt idx="21">
                  <c:v>8.0145032475059708</c:v>
                </c:pt>
                <c:pt idx="22">
                  <c:v>7.2518224253141153</c:v>
                </c:pt>
                <c:pt idx="23">
                  <c:v>6.5617202793764964</c:v>
                </c:pt>
                <c:pt idx="24">
                  <c:v>5.9372900354652245</c:v>
                </c:pt>
                <c:pt idx="25">
                  <c:v>5.3722821858209837</c:v>
                </c:pt>
                <c:pt idx="26">
                  <c:v>4.86104194197884</c:v>
                </c:pt>
                <c:pt idx="27">
                  <c:v>4.3984526397446402</c:v>
                </c:pt>
                <c:pt idx="28">
                  <c:v>3.9798845298999916</c:v>
                </c:pt>
                <c:pt idx="29">
                  <c:v>3.6011484421159672</c:v>
                </c:pt>
                <c:pt idx="30">
                  <c:v>3.2584538583284295</c:v>
                </c:pt>
                <c:pt idx="31">
                  <c:v>2.9483709759592065</c:v>
                </c:pt>
                <c:pt idx="32">
                  <c:v>2.6677963812990901</c:v>
                </c:pt>
                <c:pt idx="33">
                  <c:v>2.4139219895003459</c:v>
                </c:pt>
                <c:pt idx="34">
                  <c:v>2.1842069403197195</c:v>
                </c:pt>
                <c:pt idx="35">
                  <c:v>1.9763521683351182</c:v>
                </c:pt>
                <c:pt idx="36">
                  <c:v>1.7882773931261184</c:v>
                </c:pt>
                <c:pt idx="37">
                  <c:v>1.6181002991283133</c:v>
                </c:pt>
                <c:pt idx="38">
                  <c:v>1.4641176967864775</c:v>
                </c:pt>
                <c:pt idx="39">
                  <c:v>1.324788476461032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19-485B-9E2D-E877B6EDE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3088"/>
        <c:axId val="421692696"/>
      </c:scatterChart>
      <c:valAx>
        <c:axId val="42169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2304"/>
        <c:crosses val="autoZero"/>
        <c:crossBetween val="midCat"/>
      </c:valAx>
      <c:valAx>
        <c:axId val="4216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)\ &quot;$&quot;_ ;_ * \(#,##0.00\)\ &quot;$&quot;_ ;_ * &quot;-&quot;??_)\ &quot;$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1912"/>
        <c:crosses val="autoZero"/>
        <c:crossBetween val="midCat"/>
      </c:valAx>
      <c:valAx>
        <c:axId val="42169269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3088"/>
        <c:crosses val="max"/>
        <c:crossBetween val="midCat"/>
      </c:valAx>
      <c:valAx>
        <c:axId val="421693088"/>
        <c:scaling>
          <c:orientation val="minMax"/>
        </c:scaling>
        <c:delete val="1"/>
        <c:axPos val="b"/>
        <c:numFmt formatCode="#,##0.00\ &quot;$&quot;" sourceLinked="1"/>
        <c:majorTickMark val="out"/>
        <c:minorTickMark val="none"/>
        <c:tickLblPos val="none"/>
        <c:crossAx val="421692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Ln(demande) en fonction de</a:t>
            </a:r>
            <a:r>
              <a:rPr lang="en-US" baseline="0"/>
              <a:t> ln(prix)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Supplément!$D$1</c:f>
              <c:strCache>
                <c:ptCount val="1"/>
                <c:pt idx="0">
                  <c:v>Ln(demande)</c:v>
                </c:pt>
              </c:strCache>
            </c:strRef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515880653093636"/>
                  <c:y val="-0.50334112672775932"/>
                </c:manualLayout>
              </c:layout>
              <c:numFmt formatCode="General" sourceLinked="0"/>
            </c:trendlineLbl>
          </c:trendline>
          <c:xVal>
            <c:numRef>
              <c:f>Supplément!$C$2:$C$41</c:f>
              <c:numCache>
                <c:formatCode>General</c:formatCode>
                <c:ptCount val="40"/>
                <c:pt idx="0">
                  <c:v>0.91629073187415511</c:v>
                </c:pt>
                <c:pt idx="1">
                  <c:v>1.6094379124341003</c:v>
                </c:pt>
                <c:pt idx="2">
                  <c:v>2.0149030205422647</c:v>
                </c:pt>
                <c:pt idx="3">
                  <c:v>2.3025850929940459</c:v>
                </c:pt>
                <c:pt idx="4">
                  <c:v>2.5257286443082556</c:v>
                </c:pt>
                <c:pt idx="5">
                  <c:v>2.7080502011022101</c:v>
                </c:pt>
                <c:pt idx="6">
                  <c:v>2.8622008809294686</c:v>
                </c:pt>
                <c:pt idx="7">
                  <c:v>2.9957322735539909</c:v>
                </c:pt>
                <c:pt idx="8">
                  <c:v>3.1135153092103742</c:v>
                </c:pt>
                <c:pt idx="9">
                  <c:v>3.2188758248682006</c:v>
                </c:pt>
                <c:pt idx="10">
                  <c:v>3.3141860046725258</c:v>
                </c:pt>
                <c:pt idx="11">
                  <c:v>3.4011973816621555</c:v>
                </c:pt>
                <c:pt idx="12">
                  <c:v>3.4812400893356918</c:v>
                </c:pt>
                <c:pt idx="13">
                  <c:v>3.5553480614894135</c:v>
                </c:pt>
                <c:pt idx="14">
                  <c:v>3.6243409329763652</c:v>
                </c:pt>
                <c:pt idx="15">
                  <c:v>3.6888794541139363</c:v>
                </c:pt>
                <c:pt idx="16">
                  <c:v>3.7495040759303713</c:v>
                </c:pt>
                <c:pt idx="17">
                  <c:v>3.8066624897703196</c:v>
                </c:pt>
                <c:pt idx="18">
                  <c:v>3.8607297110405954</c:v>
                </c:pt>
                <c:pt idx="19">
                  <c:v>3.912023005428146</c:v>
                </c:pt>
                <c:pt idx="20">
                  <c:v>3.9608131695975781</c:v>
                </c:pt>
                <c:pt idx="21">
                  <c:v>4.0073331852324712</c:v>
                </c:pt>
                <c:pt idx="22">
                  <c:v>4.0517849478033048</c:v>
                </c:pt>
                <c:pt idx="23">
                  <c:v>4.0943445622221004</c:v>
                </c:pt>
                <c:pt idx="24">
                  <c:v>4.1351665567423561</c:v>
                </c:pt>
                <c:pt idx="25">
                  <c:v>4.1743872698956368</c:v>
                </c:pt>
                <c:pt idx="26">
                  <c:v>4.2121275978784842</c:v>
                </c:pt>
                <c:pt idx="27">
                  <c:v>4.2484952420493594</c:v>
                </c:pt>
                <c:pt idx="28">
                  <c:v>4.2835865618606288</c:v>
                </c:pt>
                <c:pt idx="29">
                  <c:v>4.3174881135363101</c:v>
                </c:pt>
                <c:pt idx="30">
                  <c:v>4.3502779363593014</c:v>
                </c:pt>
                <c:pt idx="31">
                  <c:v>4.3820266346738812</c:v>
                </c:pt>
                <c:pt idx="32">
                  <c:v>4.4127982933406349</c:v>
                </c:pt>
                <c:pt idx="33">
                  <c:v>4.4426512564903167</c:v>
                </c:pt>
                <c:pt idx="34">
                  <c:v>4.4716387933635691</c:v>
                </c:pt>
                <c:pt idx="35">
                  <c:v>4.499809670330265</c:v>
                </c:pt>
                <c:pt idx="36">
                  <c:v>4.5272086445183799</c:v>
                </c:pt>
                <c:pt idx="37">
                  <c:v>4.5538768916005408</c:v>
                </c:pt>
                <c:pt idx="38">
                  <c:v>4.5798523780038014</c:v>
                </c:pt>
                <c:pt idx="39">
                  <c:v>4.6051701859880918</c:v>
                </c:pt>
              </c:numCache>
            </c:numRef>
          </c:xVal>
          <c:yVal>
            <c:numRef>
              <c:f>Supplément!$D$2:$D$41</c:f>
              <c:numCache>
                <c:formatCode>General</c:formatCode>
                <c:ptCount val="40"/>
                <c:pt idx="0">
                  <c:v>4.8828019225863706</c:v>
                </c:pt>
                <c:pt idx="1">
                  <c:v>4.8283137373023015</c:v>
                </c:pt>
                <c:pt idx="2">
                  <c:v>4.4308167988433134</c:v>
                </c:pt>
                <c:pt idx="3">
                  <c:v>4.3820266346738812</c:v>
                </c:pt>
                <c:pt idx="4">
                  <c:v>3.912023005428146</c:v>
                </c:pt>
                <c:pt idx="5">
                  <c:v>3.8712010109078911</c:v>
                </c:pt>
                <c:pt idx="6">
                  <c:v>3.6635616461296463</c:v>
                </c:pt>
                <c:pt idx="7">
                  <c:v>3.6635616461296463</c:v>
                </c:pt>
                <c:pt idx="8">
                  <c:v>3.2188758248682006</c:v>
                </c:pt>
                <c:pt idx="9">
                  <c:v>3.0910424533583161</c:v>
                </c:pt>
                <c:pt idx="10">
                  <c:v>2.8903717578961645</c:v>
                </c:pt>
                <c:pt idx="11">
                  <c:v>2.8903717578961645</c:v>
                </c:pt>
                <c:pt idx="12">
                  <c:v>2.8332133440562162</c:v>
                </c:pt>
                <c:pt idx="13">
                  <c:v>2.8332133440562162</c:v>
                </c:pt>
                <c:pt idx="14">
                  <c:v>2.8332133440562162</c:v>
                </c:pt>
                <c:pt idx="15">
                  <c:v>2.8332133440562162</c:v>
                </c:pt>
                <c:pt idx="16">
                  <c:v>2.3978952727983707</c:v>
                </c:pt>
                <c:pt idx="17">
                  <c:v>2.3978952727983707</c:v>
                </c:pt>
                <c:pt idx="18">
                  <c:v>2.3978952727983707</c:v>
                </c:pt>
                <c:pt idx="19">
                  <c:v>2.3978952727983707</c:v>
                </c:pt>
                <c:pt idx="20">
                  <c:v>1.3862943611198906</c:v>
                </c:pt>
                <c:pt idx="21">
                  <c:v>1.0986122886681098</c:v>
                </c:pt>
                <c:pt idx="22">
                  <c:v>1.0986122886681098</c:v>
                </c:pt>
                <c:pt idx="23">
                  <c:v>1.0986122886681098</c:v>
                </c:pt>
                <c:pt idx="24">
                  <c:v>1.0986122886681098</c:v>
                </c:pt>
                <c:pt idx="25">
                  <c:v>1.0986122886681098</c:v>
                </c:pt>
                <c:pt idx="26">
                  <c:v>1.0986122886681098</c:v>
                </c:pt>
                <c:pt idx="27">
                  <c:v>1.0986122886681098</c:v>
                </c:pt>
                <c:pt idx="28">
                  <c:v>1.0986122886681098</c:v>
                </c:pt>
                <c:pt idx="29">
                  <c:v>1.0986122886681098</c:v>
                </c:pt>
                <c:pt idx="30">
                  <c:v>1.0986122886681098</c:v>
                </c:pt>
                <c:pt idx="31">
                  <c:v>1.0986122886681098</c:v>
                </c:pt>
                <c:pt idx="32">
                  <c:v>1.0986122886681098</c:v>
                </c:pt>
                <c:pt idx="33">
                  <c:v>1.0986122886681098</c:v>
                </c:pt>
                <c:pt idx="34">
                  <c:v>1.0986122886681098</c:v>
                </c:pt>
                <c:pt idx="35">
                  <c:v>1.0986122886681098</c:v>
                </c:pt>
                <c:pt idx="36">
                  <c:v>1.0986122886681098</c:v>
                </c:pt>
                <c:pt idx="37">
                  <c:v>1.0986122886681098</c:v>
                </c:pt>
                <c:pt idx="38">
                  <c:v>1.0986122886681098</c:v>
                </c:pt>
                <c:pt idx="39">
                  <c:v>1.0986122886681098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C-4E7F-AACD-E372DDED5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3872"/>
        <c:axId val="421694264"/>
      </c:scatterChart>
      <c:valAx>
        <c:axId val="42169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1694264"/>
        <c:crosses val="autoZero"/>
        <c:crossBetween val="midCat"/>
      </c:valAx>
      <c:valAx>
        <c:axId val="421694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693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Supplément!$B$1</c:f>
              <c:strCache>
                <c:ptCount val="1"/>
                <c:pt idx="0">
                  <c:v>Demande</c:v>
                </c:pt>
              </c:strCache>
            </c:strRef>
          </c:tx>
          <c:spPr>
            <a:ln w="19050">
              <a:noFill/>
            </a:ln>
          </c:spP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Supplément!$B$2:$B$41</c:f>
              <c:numCache>
                <c:formatCode>General</c:formatCode>
                <c:ptCount val="40"/>
                <c:pt idx="0">
                  <c:v>132</c:v>
                </c:pt>
                <c:pt idx="1">
                  <c:v>125</c:v>
                </c:pt>
                <c:pt idx="2">
                  <c:v>84</c:v>
                </c:pt>
                <c:pt idx="3">
                  <c:v>80</c:v>
                </c:pt>
                <c:pt idx="4">
                  <c:v>50</c:v>
                </c:pt>
                <c:pt idx="5">
                  <c:v>48</c:v>
                </c:pt>
                <c:pt idx="6">
                  <c:v>39</c:v>
                </c:pt>
                <c:pt idx="7">
                  <c:v>39</c:v>
                </c:pt>
                <c:pt idx="8">
                  <c:v>25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1208"/>
        <c:axId val="419131600"/>
      </c:scatterChart>
      <c:scatterChart>
        <c:scatterStyle val="smoothMarker"/>
        <c:varyColors val="0"/>
        <c:ser>
          <c:idx val="3"/>
          <c:order val="1"/>
          <c:tx>
            <c:strRef>
              <c:f>Supplément!$E$1</c:f>
              <c:strCache>
                <c:ptCount val="1"/>
                <c:pt idx="0">
                  <c:v>Demande estimée </c:v>
                </c:pt>
              </c:strCache>
            </c:strRef>
          </c:tx>
          <c:marker>
            <c:symbol val="none"/>
          </c:marke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Supplément!$E$2:$E$41</c:f>
              <c:numCache>
                <c:formatCode>0.00</c:formatCode>
                <c:ptCount val="40"/>
                <c:pt idx="0">
                  <c:v>157.53586534056598</c:v>
                </c:pt>
                <c:pt idx="1">
                  <c:v>116.59268127414612</c:v>
                </c:pt>
                <c:pt idx="2">
                  <c:v>87.284810470845514</c:v>
                </c:pt>
                <c:pt idx="3">
                  <c:v>67.557365364504747</c:v>
                </c:pt>
                <c:pt idx="4">
                  <c:v>53.797168140412076</c:v>
                </c:pt>
                <c:pt idx="5">
                  <c:v>43.829263268001633</c:v>
                </c:pt>
                <c:pt idx="6">
                  <c:v>36.373279385457408</c:v>
                </c:pt>
                <c:pt idx="7">
                  <c:v>30.646697842595852</c:v>
                </c:pt>
                <c:pt idx="8">
                  <c:v>26.150804669947679</c:v>
                </c:pt>
                <c:pt idx="9">
                  <c:v>22.555503224185593</c:v>
                </c:pt>
                <c:pt idx="10">
                  <c:v>19.635027321129474</c:v>
                </c:pt>
                <c:pt idx="11">
                  <c:v>17.230553775118885</c:v>
                </c:pt>
                <c:pt idx="12">
                  <c:v>15.227602116292188</c:v>
                </c:pt>
                <c:pt idx="13">
                  <c:v>13.541891715481793</c:v>
                </c:pt>
                <c:pt idx="14">
                  <c:v>12.110216166345463</c:v>
                </c:pt>
                <c:pt idx="15">
                  <c:v>10.884393545795563</c:v>
                </c:pt>
                <c:pt idx="16">
                  <c:v>9.8271585030216659</c:v>
                </c:pt>
                <c:pt idx="17">
                  <c:v>8.9093127501841991</c:v>
                </c:pt>
                <c:pt idx="18">
                  <c:v>8.107710381111934</c:v>
                </c:pt>
                <c:pt idx="19">
                  <c:v>7.4038087882274981</c:v>
                </c:pt>
                <c:pt idx="20">
                  <c:v>6.782610111827867</c:v>
                </c:pt>
                <c:pt idx="21">
                  <c:v>6.2318770163530646</c:v>
                </c:pt>
                <c:pt idx="22">
                  <c:v>5.7415442016990008</c:v>
                </c:pt>
                <c:pt idx="23">
                  <c:v>5.3032715815570439</c:v>
                </c:pt>
                <c:pt idx="24">
                  <c:v>4.9101013468038186</c:v>
                </c:pt>
                <c:pt idx="25">
                  <c:v>4.5561921310810707</c:v>
                </c:pt>
                <c:pt idx="26">
                  <c:v>4.2366110402210593</c:v>
                </c:pt>
                <c:pt idx="27">
                  <c:v>3.9471695566604157</c:v>
                </c:pt>
                <c:pt idx="28">
                  <c:v>3.6842930312622943</c:v>
                </c:pt>
                <c:pt idx="29">
                  <c:v>3.4449161169025069</c:v>
                </c:pt>
                <c:pt idx="30">
                  <c:v>3.2263984056466777</c:v>
                </c:pt>
                <c:pt idx="31">
                  <c:v>3.0264559233011283</c:v>
                </c:pt>
                <c:pt idx="32">
                  <c:v>2.8431051610632565</c:v>
                </c:pt>
                <c:pt idx="33">
                  <c:v>2.6746170872686155</c:v>
                </c:pt>
                <c:pt idx="34">
                  <c:v>2.5194791550867102</c:v>
                </c:pt>
                <c:pt idx="35">
                  <c:v>2.3763637555232626</c:v>
                </c:pt>
                <c:pt idx="36">
                  <c:v>2.2441018957024914</c:v>
                </c:pt>
                <c:pt idx="37">
                  <c:v>2.1216611364074538</c:v>
                </c:pt>
                <c:pt idx="38">
                  <c:v>2.0081270193626763</c:v>
                </c:pt>
                <c:pt idx="39">
                  <c:v>1.9026873677702321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1208"/>
        <c:axId val="419131600"/>
      </c:scatterChart>
      <c:scatterChart>
        <c:scatterStyle val="smoothMarker"/>
        <c:varyColors val="0"/>
        <c:ser>
          <c:idx val="4"/>
          <c:order val="2"/>
          <c:tx>
            <c:strRef>
              <c:f>Supplément!$F$1</c:f>
              <c:strCache>
                <c:ptCount val="1"/>
                <c:pt idx="0">
                  <c:v>Revenu estimé</c:v>
                </c:pt>
              </c:strCache>
            </c:strRef>
          </c:tx>
          <c:marker>
            <c:symbol val="none"/>
          </c:marke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Supplément!$F$2:$F$41</c:f>
              <c:numCache>
                <c:formatCode>_ * #,##0.00_)\ "$"_ ;_ * \(#,##0.00\)\ "$"_ ;_ * "-"??_)\ "$"_ ;_ @_ </c:formatCode>
                <c:ptCount val="40"/>
                <c:pt idx="0">
                  <c:v>393.83966335141497</c:v>
                </c:pt>
                <c:pt idx="1">
                  <c:v>582.96340637073058</c:v>
                </c:pt>
                <c:pt idx="2">
                  <c:v>654.63607853134135</c:v>
                </c:pt>
                <c:pt idx="3">
                  <c:v>675.57365364504744</c:v>
                </c:pt>
                <c:pt idx="4">
                  <c:v>672.46460175515097</c:v>
                </c:pt>
                <c:pt idx="5">
                  <c:v>657.43894902002444</c:v>
                </c:pt>
                <c:pt idx="6">
                  <c:v>636.53238924550465</c:v>
                </c:pt>
                <c:pt idx="7">
                  <c:v>612.93395685191706</c:v>
                </c:pt>
                <c:pt idx="8">
                  <c:v>588.39310507382277</c:v>
                </c:pt>
                <c:pt idx="9">
                  <c:v>563.88758060463977</c:v>
                </c:pt>
                <c:pt idx="10">
                  <c:v>539.96325133106052</c:v>
                </c:pt>
                <c:pt idx="11">
                  <c:v>516.91661325356654</c:v>
                </c:pt>
                <c:pt idx="12">
                  <c:v>494.89706877949607</c:v>
                </c:pt>
                <c:pt idx="13">
                  <c:v>473.96621004186272</c:v>
                </c:pt>
                <c:pt idx="14">
                  <c:v>454.13310623795485</c:v>
                </c:pt>
                <c:pt idx="15">
                  <c:v>435.37574183182249</c:v>
                </c:pt>
                <c:pt idx="16">
                  <c:v>417.65423637842082</c:v>
                </c:pt>
                <c:pt idx="17">
                  <c:v>400.91907375828896</c:v>
                </c:pt>
                <c:pt idx="18">
                  <c:v>385.11624310281684</c:v>
                </c:pt>
                <c:pt idx="19">
                  <c:v>370.19043941137488</c:v>
                </c:pt>
                <c:pt idx="20">
                  <c:v>356.08703087096302</c:v>
                </c:pt>
                <c:pt idx="21">
                  <c:v>342.75323589941854</c:v>
                </c:pt>
                <c:pt idx="22">
                  <c:v>330.13879159769255</c:v>
                </c:pt>
                <c:pt idx="23">
                  <c:v>318.19629489342265</c:v>
                </c:pt>
                <c:pt idx="24">
                  <c:v>306.88133417523863</c:v>
                </c:pt>
                <c:pt idx="25">
                  <c:v>296.15248852026957</c:v>
                </c:pt>
                <c:pt idx="26">
                  <c:v>285.97124521492151</c:v>
                </c:pt>
                <c:pt idx="27">
                  <c:v>276.30186896622911</c:v>
                </c:pt>
                <c:pt idx="28">
                  <c:v>267.11124476651634</c:v>
                </c:pt>
                <c:pt idx="29">
                  <c:v>258.36870876768802</c:v>
                </c:pt>
                <c:pt idx="30">
                  <c:v>250.04587643761752</c:v>
                </c:pt>
                <c:pt idx="31">
                  <c:v>242.11647386409027</c:v>
                </c:pt>
                <c:pt idx="32">
                  <c:v>234.55617578771867</c:v>
                </c:pt>
                <c:pt idx="33">
                  <c:v>227.34245241783231</c:v>
                </c:pt>
                <c:pt idx="34">
                  <c:v>220.45442607008715</c:v>
                </c:pt>
                <c:pt idx="35">
                  <c:v>213.87273799709362</c:v>
                </c:pt>
                <c:pt idx="36">
                  <c:v>207.57942535248046</c:v>
                </c:pt>
                <c:pt idx="37">
                  <c:v>201.55780795870811</c:v>
                </c:pt>
                <c:pt idx="38">
                  <c:v>195.79238438786095</c:v>
                </c:pt>
                <c:pt idx="39">
                  <c:v>190.26873677702321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2384"/>
        <c:axId val="419131992"/>
      </c:scatterChart>
      <c:valAx>
        <c:axId val="419131208"/>
        <c:scaling>
          <c:orientation val="minMax"/>
        </c:scaling>
        <c:delete val="0"/>
        <c:axPos val="b"/>
        <c:numFmt formatCode="#,##0.00\ &quot;$&quot;" sourceLinked="1"/>
        <c:majorTickMark val="out"/>
        <c:minorTickMark val="none"/>
        <c:tickLblPos val="nextTo"/>
        <c:crossAx val="419131600"/>
        <c:crosses val="autoZero"/>
        <c:crossBetween val="midCat"/>
      </c:valAx>
      <c:valAx>
        <c:axId val="41913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9131208"/>
        <c:crosses val="autoZero"/>
        <c:crossBetween val="midCat"/>
      </c:valAx>
      <c:valAx>
        <c:axId val="419131992"/>
        <c:scaling>
          <c:orientation val="minMax"/>
        </c:scaling>
        <c:delete val="0"/>
        <c:axPos val="r"/>
        <c:numFmt formatCode="_ * #,##0.00_)\ &quot;$&quot;_ ;_ * \(#,##0.00\)\ &quot;$&quot;_ ;_ * &quot;-&quot;??_)\ &quot;$&quot;_ ;_ @_ " sourceLinked="1"/>
        <c:majorTickMark val="out"/>
        <c:minorTickMark val="none"/>
        <c:tickLblPos val="nextTo"/>
        <c:crossAx val="419132384"/>
        <c:crosses val="max"/>
        <c:crossBetween val="midCat"/>
      </c:valAx>
      <c:valAx>
        <c:axId val="419132384"/>
        <c:scaling>
          <c:orientation val="minMax"/>
        </c:scaling>
        <c:delete val="1"/>
        <c:axPos val="b"/>
        <c:numFmt formatCode="#,##0.00\ &quot;$&quot;" sourceLinked="1"/>
        <c:majorTickMark val="out"/>
        <c:minorTickMark val="none"/>
        <c:tickLblPos val="none"/>
        <c:crossAx val="419131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180975</xdr:rowOff>
    </xdr:from>
    <xdr:to>
      <xdr:col>4</xdr:col>
      <xdr:colOff>847725</xdr:colOff>
      <xdr:row>4</xdr:row>
      <xdr:rowOff>57150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171825" y="1162050"/>
          <a:ext cx="70485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590550</xdr:colOff>
      <xdr:row>3</xdr:row>
      <xdr:rowOff>114300</xdr:rowOff>
    </xdr:from>
    <xdr:to>
      <xdr:col>4</xdr:col>
      <xdr:colOff>133350</xdr:colOff>
      <xdr:row>8</xdr:row>
      <xdr:rowOff>190500</xdr:rowOff>
    </xdr:to>
    <xdr:sp macro="" textlink="">
      <xdr:nvSpPr>
        <xdr:cNvPr id="3" name="Flèche courbée vers la droit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857500" y="1304925"/>
          <a:ext cx="304800" cy="1085850"/>
        </a:xfrm>
        <a:prstGeom prst="curv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16</xdr:row>
      <xdr:rowOff>19050</xdr:rowOff>
    </xdr:from>
    <xdr:to>
      <xdr:col>12</xdr:col>
      <xdr:colOff>9525</xdr:colOff>
      <xdr:row>27</xdr:row>
      <xdr:rowOff>142875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4</xdr:row>
      <xdr:rowOff>42862</xdr:rowOff>
    </xdr:from>
    <xdr:to>
      <xdr:col>10</xdr:col>
      <xdr:colOff>4762</xdr:colOff>
      <xdr:row>15</xdr:row>
      <xdr:rowOff>166687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190499</xdr:rowOff>
    </xdr:from>
    <xdr:to>
      <xdr:col>10</xdr:col>
      <xdr:colOff>38100</xdr:colOff>
      <xdr:row>39</xdr:row>
      <xdr:rowOff>104774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</xdr:row>
      <xdr:rowOff>0</xdr:rowOff>
    </xdr:from>
    <xdr:to>
      <xdr:col>10</xdr:col>
      <xdr:colOff>0</xdr:colOff>
      <xdr:row>21</xdr:row>
      <xdr:rowOff>180975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7</xdr:row>
      <xdr:rowOff>0</xdr:rowOff>
    </xdr:from>
    <xdr:to>
      <xdr:col>48</xdr:col>
      <xdr:colOff>0</xdr:colOff>
      <xdr:row>21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0</xdr:colOff>
      <xdr:row>22</xdr:row>
      <xdr:rowOff>0</xdr:rowOff>
    </xdr:from>
    <xdr:to>
      <xdr:col>48</xdr:col>
      <xdr:colOff>0</xdr:colOff>
      <xdr:row>36</xdr:row>
      <xdr:rowOff>76200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104775</xdr:rowOff>
    </xdr:from>
    <xdr:to>
      <xdr:col>9</xdr:col>
      <xdr:colOff>57150</xdr:colOff>
      <xdr:row>14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28575</xdr:rowOff>
    </xdr:from>
    <xdr:to>
      <xdr:col>9</xdr:col>
      <xdr:colOff>0</xdr:colOff>
      <xdr:row>30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4</xdr:row>
      <xdr:rowOff>104776</xdr:rowOff>
    </xdr:from>
    <xdr:to>
      <xdr:col>16</xdr:col>
      <xdr:colOff>76200</xdr:colOff>
      <xdr:row>20</xdr:row>
      <xdr:rowOff>47626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661987</xdr:colOff>
      <xdr:row>1</xdr:row>
      <xdr:rowOff>19050</xdr:rowOff>
    </xdr:from>
    <xdr:to>
      <xdr:col>10</xdr:col>
      <xdr:colOff>661987</xdr:colOff>
      <xdr:row>15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1</xdr:row>
      <xdr:rowOff>28575</xdr:rowOff>
    </xdr:from>
    <xdr:to>
      <xdr:col>17</xdr:col>
      <xdr:colOff>104775</xdr:colOff>
      <xdr:row>15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38099</xdr:colOff>
      <xdr:row>15</xdr:row>
      <xdr:rowOff>161924</xdr:rowOff>
    </xdr:from>
    <xdr:to>
      <xdr:col>12</xdr:col>
      <xdr:colOff>581024</xdr:colOff>
      <xdr:row>38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516870</xdr:colOff>
      <xdr:row>0</xdr:row>
      <xdr:rowOff>80681</xdr:rowOff>
    </xdr:from>
    <xdr:to>
      <xdr:col>16</xdr:col>
      <xdr:colOff>358588</xdr:colOff>
      <xdr:row>37</xdr:row>
      <xdr:rowOff>56028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552170</xdr:colOff>
      <xdr:row>2</xdr:row>
      <xdr:rowOff>16528</xdr:rowOff>
    </xdr:from>
    <xdr:to>
      <xdr:col>14</xdr:col>
      <xdr:colOff>690283</xdr:colOff>
      <xdr:row>19</xdr:row>
      <xdr:rowOff>49866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1</xdr:row>
      <xdr:rowOff>123825</xdr:rowOff>
    </xdr:from>
    <xdr:to>
      <xdr:col>14</xdr:col>
      <xdr:colOff>114301</xdr:colOff>
      <xdr:row>16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390525</xdr:colOff>
      <xdr:row>17</xdr:row>
      <xdr:rowOff>66674</xdr:rowOff>
    </xdr:from>
    <xdr:to>
      <xdr:col>17</xdr:col>
      <xdr:colOff>676275</xdr:colOff>
      <xdr:row>46</xdr:row>
      <xdr:rowOff>114299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57149</xdr:colOff>
      <xdr:row>47</xdr:row>
      <xdr:rowOff>185737</xdr:rowOff>
    </xdr:from>
    <xdr:ext cx="6838951" cy="134778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/>
      </xdr:nvSpPr>
      <xdr:spPr>
        <a:xfrm>
          <a:off x="57149" y="9139237"/>
          <a:ext cx="6838951" cy="1347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fr-CA" sz="2000" b="0" i="0">
            <a:solidFill>
              <a:srgbClr val="FF0000"/>
            </a:solidFill>
            <a:latin typeface="Cambria Math" panose="02040503050406030204" pitchFamily="18" charset="0"/>
          </a:endParaRPr>
        </a:p>
        <a:p>
          <a:r>
            <a:rPr lang="fr-CA" sz="2000" b="0" i="0">
              <a:solidFill>
                <a:srgbClr val="FF0000"/>
              </a:solidFill>
              <a:latin typeface="Cambria Math" panose="02040503050406030204" pitchFamily="18" charset="0"/>
            </a:rPr>
            <a:t>f(p) = e^(5.0819+0.2091*ln(p)-0.2547*ln(p)*ln(p))</a:t>
          </a:r>
          <a:endParaRPr lang="fr-CA" sz="20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5" totalsRowShown="0" headerRowDxfId="31" headerRowBorderDxfId="30">
  <tableColumns count="3">
    <tableColumn id="1" xr3:uid="{00000000-0010-0000-0000-000001000000}" name="Prix" dataDxfId="29"/>
    <tableColumn id="2" xr3:uid="{00000000-0010-0000-0000-000002000000}" name="Demande" dataDxfId="28">
      <calculatedColumnFormula>COUNTIF('données + numéro d''équipe'!$A$2:$A$155,"&gt;="&amp;A2)</calculatedColumnFormula>
    </tableColumn>
    <tableColumn id="3" xr3:uid="{00000000-0010-0000-0000-000003000000}" name="Revenu" dataDxfId="27">
      <calculatedColumnFormula>A2*B2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13" displayName="Tableau13" ref="A1:C14" totalsRowShown="0" headerRowDxfId="26" headerRowBorderDxfId="25">
  <tableColumns count="3">
    <tableColumn id="1" xr3:uid="{00000000-0010-0000-0100-000001000000}" name="Prix" dataDxfId="24"/>
    <tableColumn id="2" xr3:uid="{00000000-0010-0000-0100-000002000000}" name="Demande" dataDxfId="23">
      <calculatedColumnFormula>COUNTIF('données + numéro d''équipe'!$A$2:$A$155,"&gt;="&amp;A2)</calculatedColumnFormula>
    </tableColumn>
    <tableColumn id="3" xr3:uid="{00000000-0010-0000-0100-000003000000}" name="Revenu" dataDxfId="22">
      <calculatedColumnFormula>A2*B2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15" displayName="Tableau15" ref="A1:C5" totalsRowShown="0" headerRowDxfId="21" headerRowBorderDxfId="20">
  <tableColumns count="3">
    <tableColumn id="1" xr3:uid="{00000000-0010-0000-0200-000001000000}" name="Prix" dataDxfId="19"/>
    <tableColumn id="2" xr3:uid="{00000000-0010-0000-0200-000002000000}" name="Demande" dataDxfId="18">
      <calculatedColumnFormula>COUNTIF('données + numéro d''équipe'!$A$2:$A$155,"&gt;="&amp;A2)</calculatedColumnFormula>
    </tableColumn>
    <tableColumn id="3" xr3:uid="{00000000-0010-0000-0200-000003000000}" name="Revenu" dataDxfId="17">
      <calculatedColumnFormula>A2*B2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1346" displayName="Tableau1346" ref="A1:C41" totalsRowShown="0" headerRowDxfId="16" headerRowBorderDxfId="15">
  <tableColumns count="3">
    <tableColumn id="1" xr3:uid="{00000000-0010-0000-0300-000001000000}" name="Prix" dataDxfId="14"/>
    <tableColumn id="2" xr3:uid="{00000000-0010-0000-0300-000002000000}" name="Demande" dataDxfId="13">
      <calculatedColumnFormula>COUNTIF('données + numéro d''équipe'!$A$2:$A$155,"&gt;="&amp;A2)</calculatedColumnFormula>
    </tableColumn>
    <tableColumn id="3" xr3:uid="{00000000-0010-0000-0300-000003000000}" name="Revenu" dataDxfId="12">
      <calculatedColumnFormula>A2*B2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au13427" displayName="Tableau13427" ref="A1:C41" totalsRowShown="0" headerRowDxfId="11" headerRowBorderDxfId="10">
  <tableColumns count="3">
    <tableColumn id="1" xr3:uid="{00000000-0010-0000-0400-000001000000}" name="Prix" dataDxfId="9"/>
    <tableColumn id="2" xr3:uid="{00000000-0010-0000-0400-000002000000}" name="Demande" dataDxfId="8">
      <calculatedColumnFormula>COUNTIF('données + numéro d''équipe'!$A$2:$A$155,"&gt;="&amp;A2)</calculatedColumnFormula>
    </tableColumn>
    <tableColumn id="3" xr3:uid="{00000000-0010-0000-0400-000003000000}" name="Revenu" dataDxfId="7">
      <calculatedColumnFormula>A2*B2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au134274" displayName="Tableau134274" ref="A1:E41" totalsRowShown="0" headerRowDxfId="6" headerRowBorderDxfId="5">
  <tableColumns count="5">
    <tableColumn id="1" xr3:uid="{00000000-0010-0000-0500-000001000000}" name="Prix" dataDxfId="4"/>
    <tableColumn id="2" xr3:uid="{00000000-0010-0000-0500-000002000000}" name="Demande" dataDxfId="3">
      <calculatedColumnFormula>COUNTIF('données + numéro d''équipe'!$A$2:$A$155,"&gt;="&amp;A2)</calculatedColumnFormula>
    </tableColumn>
    <tableColumn id="3" xr3:uid="{00000000-0010-0000-0500-000003000000}" name="Revenu" dataDxfId="2">
      <calculatedColumnFormula>A2*B2</calculatedColumnFormula>
    </tableColumn>
    <tableColumn id="4" xr3:uid="{00000000-0010-0000-0500-000004000000}" name="Demande estimée (exponentielle)" dataDxfId="1">
      <calculatedColumnFormula>72.331*EXP(-0.04*A2)</calculatedColumnFormula>
    </tableColumn>
    <tableColumn id="5" xr3:uid="{00000000-0010-0000-0500-000005000000}" name="Revenu estimé" dataDxfId="0">
      <calculatedColumnFormula>D2*A2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workbookViewId="0">
      <selection activeCell="C6" sqref="C6"/>
    </sheetView>
  </sheetViews>
  <sheetFormatPr defaultColWidth="11.5546875" defaultRowHeight="14.4" x14ac:dyDescent="0.3"/>
  <cols>
    <col min="1" max="1" width="11.44140625" style="1"/>
    <col min="5" max="5" width="14.109375" bestFit="1" customWidth="1"/>
  </cols>
  <sheetData>
    <row r="1" spans="1:11" ht="18" x14ac:dyDescent="0.35">
      <c r="A1" s="54" t="s">
        <v>17</v>
      </c>
      <c r="B1" s="34"/>
      <c r="C1" s="124" t="s">
        <v>61</v>
      </c>
      <c r="D1" s="124"/>
      <c r="E1" s="124"/>
      <c r="F1" s="124"/>
      <c r="G1" s="124"/>
      <c r="H1" s="124"/>
      <c r="I1" s="124"/>
      <c r="J1" s="124"/>
      <c r="K1" s="124"/>
    </row>
    <row r="2" spans="1:11" ht="18" x14ac:dyDescent="0.35">
      <c r="A2" s="58">
        <v>0</v>
      </c>
      <c r="B2" s="34"/>
      <c r="C2" s="124"/>
      <c r="D2" s="124"/>
      <c r="E2" s="124"/>
      <c r="F2" s="124"/>
      <c r="G2" s="124"/>
      <c r="H2" s="124"/>
      <c r="I2" s="124"/>
      <c r="J2" s="124"/>
      <c r="K2" s="124"/>
    </row>
    <row r="3" spans="1:11" ht="18" x14ac:dyDescent="0.35">
      <c r="A3" s="58">
        <v>0.01</v>
      </c>
      <c r="B3" s="34"/>
      <c r="C3" s="100"/>
      <c r="D3" s="100"/>
      <c r="E3" s="100"/>
      <c r="F3" s="100"/>
      <c r="G3" s="100"/>
      <c r="H3" s="100"/>
      <c r="I3" s="100"/>
      <c r="J3" s="100"/>
      <c r="K3" s="100"/>
    </row>
    <row r="4" spans="1:11" ht="18" x14ac:dyDescent="0.35">
      <c r="A4" s="56">
        <v>0.05</v>
      </c>
      <c r="B4" s="34"/>
      <c r="C4" s="69" t="s">
        <v>77</v>
      </c>
      <c r="D4" s="34"/>
      <c r="E4" s="85">
        <v>11254658</v>
      </c>
      <c r="F4" s="34"/>
      <c r="G4" s="34"/>
      <c r="H4" s="34"/>
      <c r="I4" s="34"/>
      <c r="J4" s="34"/>
      <c r="K4" s="34"/>
    </row>
    <row r="5" spans="1:11" ht="18" x14ac:dyDescent="0.35">
      <c r="A5" s="58">
        <v>0.1</v>
      </c>
      <c r="B5" s="34"/>
      <c r="C5" s="69" t="s">
        <v>78</v>
      </c>
      <c r="D5" s="34"/>
      <c r="E5" s="34"/>
      <c r="G5" s="101">
        <f>MOD(E4,5)+1</f>
        <v>4</v>
      </c>
      <c r="H5" s="34"/>
      <c r="I5" s="34"/>
      <c r="J5" s="34"/>
      <c r="K5" s="34"/>
    </row>
    <row r="6" spans="1:11" ht="18" x14ac:dyDescent="0.35">
      <c r="A6" s="58">
        <v>0.25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8" x14ac:dyDescent="0.35">
      <c r="A7" s="58">
        <v>0.25</v>
      </c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ht="18" x14ac:dyDescent="0.35">
      <c r="A8" s="58">
        <v>0.5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18" x14ac:dyDescent="0.35">
      <c r="A9" s="58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ht="18" x14ac:dyDescent="0.35">
      <c r="A10" s="58">
        <v>1</v>
      </c>
      <c r="B10" s="34"/>
      <c r="C10" s="70" t="s">
        <v>62</v>
      </c>
      <c r="D10" s="34"/>
      <c r="E10" s="34"/>
      <c r="F10" s="34"/>
      <c r="G10" s="34"/>
      <c r="H10" s="34"/>
      <c r="I10" s="34"/>
      <c r="J10" s="34"/>
      <c r="K10" s="34"/>
    </row>
    <row r="11" spans="1:11" ht="18" x14ac:dyDescent="0.35">
      <c r="A11" s="58">
        <v>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ht="18" x14ac:dyDescent="0.35">
      <c r="A12" s="58">
        <v>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8" x14ac:dyDescent="0.35">
      <c r="A13" s="58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8" x14ac:dyDescent="0.35">
      <c r="A14" s="58">
        <v>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ht="18" x14ac:dyDescent="0.35">
      <c r="A15" s="58">
        <v>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8" x14ac:dyDescent="0.35">
      <c r="A16" s="58">
        <v>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18" x14ac:dyDescent="0.35">
      <c r="A17" s="58">
        <v>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ht="18" x14ac:dyDescent="0.35">
      <c r="A18" s="58">
        <v>2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ht="18" x14ac:dyDescent="0.35">
      <c r="A19" s="58">
        <v>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18" x14ac:dyDescent="0.35">
      <c r="A20" s="58">
        <v>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ht="18" x14ac:dyDescent="0.35">
      <c r="A21" s="58">
        <v>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ht="18" x14ac:dyDescent="0.35">
      <c r="A22" s="58">
        <v>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ht="18" x14ac:dyDescent="0.35">
      <c r="A23" s="58">
        <v>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ht="18" x14ac:dyDescent="0.35">
      <c r="A24" s="58">
        <v>2.78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ht="18" x14ac:dyDescent="0.35">
      <c r="A25" s="58">
        <v>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ht="18" x14ac:dyDescent="0.35">
      <c r="A26" s="58">
        <v>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ht="18" x14ac:dyDescent="0.35">
      <c r="A27" s="58">
        <v>3.25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ht="18" x14ac:dyDescent="0.35">
      <c r="A28" s="58">
        <v>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ht="18" x14ac:dyDescent="0.35">
      <c r="A29" s="58">
        <v>4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ht="18" x14ac:dyDescent="0.35">
      <c r="A30" s="58">
        <v>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ht="18" x14ac:dyDescent="0.35">
      <c r="A31" s="56">
        <v>5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ht="18" x14ac:dyDescent="0.35">
      <c r="A32" s="58">
        <v>5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ht="18" x14ac:dyDescent="0.35">
      <c r="A33" s="58">
        <v>5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ht="18" x14ac:dyDescent="0.35">
      <c r="A34" s="58">
        <v>5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 ht="18" x14ac:dyDescent="0.35">
      <c r="A35" s="58">
        <v>5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ht="18" x14ac:dyDescent="0.35">
      <c r="A36" s="58">
        <v>5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18" x14ac:dyDescent="0.35">
      <c r="A37" s="58">
        <v>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ht="18" x14ac:dyDescent="0.35">
      <c r="A38" s="58">
        <v>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ht="18" x14ac:dyDescent="0.35">
      <c r="A39" s="58">
        <v>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ht="18" x14ac:dyDescent="0.35">
      <c r="A40" s="58">
        <v>5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18" x14ac:dyDescent="0.35">
      <c r="A41" s="58">
        <v>5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 ht="18" x14ac:dyDescent="0.35">
      <c r="A42" s="58">
        <v>5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ht="18" x14ac:dyDescent="0.35">
      <c r="A43" s="58">
        <v>5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ht="18" x14ac:dyDescent="0.35">
      <c r="A44" s="58">
        <v>5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18" x14ac:dyDescent="0.35">
      <c r="A45" s="58">
        <v>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18" x14ac:dyDescent="0.35">
      <c r="A46" s="58">
        <v>5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18" x14ac:dyDescent="0.35">
      <c r="A47" s="58">
        <v>5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18" x14ac:dyDescent="0.35">
      <c r="A48" s="58">
        <v>5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8" x14ac:dyDescent="0.35">
      <c r="A49" s="58">
        <v>5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8" x14ac:dyDescent="0.35">
      <c r="A50" s="58">
        <v>5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8" x14ac:dyDescent="0.35">
      <c r="A51" s="58">
        <v>5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8" x14ac:dyDescent="0.35">
      <c r="A52" s="58">
        <v>5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8" x14ac:dyDescent="0.35">
      <c r="A53" s="58">
        <v>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8" x14ac:dyDescent="0.35">
      <c r="A54" s="58">
        <v>5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8" x14ac:dyDescent="0.35">
      <c r="A55" s="58">
        <v>5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8" x14ac:dyDescent="0.35">
      <c r="A56" s="58">
        <v>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8" x14ac:dyDescent="0.35">
      <c r="A57" s="58">
        <v>5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8" x14ac:dyDescent="0.35">
      <c r="A58" s="58">
        <v>5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18" x14ac:dyDescent="0.35">
      <c r="A59" s="58">
        <v>5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ht="18" x14ac:dyDescent="0.35">
      <c r="A60" s="58">
        <v>5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ht="18" x14ac:dyDescent="0.35">
      <c r="A61" s="58">
        <v>5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ht="18" x14ac:dyDescent="0.35">
      <c r="A62" s="58">
        <v>5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 ht="18" x14ac:dyDescent="0.35">
      <c r="A63" s="58">
        <v>5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 ht="18" x14ac:dyDescent="0.35">
      <c r="A64" s="58">
        <v>5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 ht="18" x14ac:dyDescent="0.35">
      <c r="A65" s="58">
        <v>5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 ht="18" x14ac:dyDescent="0.35">
      <c r="A66" s="58">
        <v>5.01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18" x14ac:dyDescent="0.35">
      <c r="A67" s="58">
        <v>6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 ht="18" x14ac:dyDescent="0.35">
      <c r="A68" s="58">
        <v>6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18" x14ac:dyDescent="0.35">
      <c r="A69" s="58">
        <v>7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18" x14ac:dyDescent="0.35">
      <c r="A70" s="58">
        <v>7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ht="18" x14ac:dyDescent="0.35">
      <c r="A71" s="58">
        <v>7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 ht="18" x14ac:dyDescent="0.35">
      <c r="A72" s="58">
        <v>7.75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 ht="18" x14ac:dyDescent="0.35">
      <c r="A73" s="58">
        <v>8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ht="18" x14ac:dyDescent="0.35">
      <c r="A74" s="58">
        <v>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ht="18" x14ac:dyDescent="0.35">
      <c r="A75" s="58">
        <v>9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 ht="18" x14ac:dyDescent="0.35">
      <c r="A76" s="58">
        <v>10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8" x14ac:dyDescent="0.35">
      <c r="A77" s="58">
        <v>10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8" x14ac:dyDescent="0.35">
      <c r="A78" s="58">
        <v>10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8" x14ac:dyDescent="0.35">
      <c r="A79" s="58">
        <v>10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8" x14ac:dyDescent="0.35">
      <c r="A80" s="58">
        <v>10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8" x14ac:dyDescent="0.35">
      <c r="A81" s="58">
        <v>10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 ht="18" x14ac:dyDescent="0.35">
      <c r="A82" s="58">
        <v>10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ht="18" x14ac:dyDescent="0.35">
      <c r="A83" s="58">
        <v>10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ht="18" x14ac:dyDescent="0.35">
      <c r="A84" s="58">
        <v>10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ht="18" x14ac:dyDescent="0.35">
      <c r="A85" s="58">
        <v>10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 ht="18" x14ac:dyDescent="0.35">
      <c r="A86" s="58">
        <v>10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 ht="18" x14ac:dyDescent="0.35">
      <c r="A87" s="58">
        <v>10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 ht="18" x14ac:dyDescent="0.35">
      <c r="A88" s="58">
        <v>10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 ht="18" x14ac:dyDescent="0.35">
      <c r="A89" s="58">
        <v>10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 ht="18" x14ac:dyDescent="0.35">
      <c r="A90" s="58">
        <v>10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 ht="18" x14ac:dyDescent="0.35">
      <c r="A91" s="58">
        <v>10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 ht="18" x14ac:dyDescent="0.35">
      <c r="A92" s="58">
        <v>10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 ht="18" x14ac:dyDescent="0.35">
      <c r="A93" s="58">
        <v>10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ht="18" x14ac:dyDescent="0.35">
      <c r="A94" s="58">
        <v>10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 ht="18" x14ac:dyDescent="0.35">
      <c r="A95" s="58">
        <v>10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ht="18" x14ac:dyDescent="0.35">
      <c r="A96" s="58">
        <v>10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ht="18" x14ac:dyDescent="0.35">
      <c r="A97" s="58">
        <v>10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ht="18" x14ac:dyDescent="0.35">
      <c r="A98" s="58">
        <v>10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ht="18" x14ac:dyDescent="0.35">
      <c r="A99" s="58">
        <v>10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18" x14ac:dyDescent="0.35">
      <c r="A100" s="58">
        <v>10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 ht="18" x14ac:dyDescent="0.35">
      <c r="A101" s="58">
        <v>10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 ht="18" x14ac:dyDescent="0.35">
      <c r="A102" s="58">
        <v>10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 ht="18" x14ac:dyDescent="0.35">
      <c r="A103" s="58">
        <v>10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 ht="18" x14ac:dyDescent="0.35">
      <c r="A104" s="58">
        <v>10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 ht="18" x14ac:dyDescent="0.35">
      <c r="A105" s="58">
        <v>11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 ht="18" x14ac:dyDescent="0.35">
      <c r="A106" s="58">
        <v>12.5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 ht="18" x14ac:dyDescent="0.35">
      <c r="A107" s="58">
        <v>13.5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 ht="18" x14ac:dyDescent="0.35">
      <c r="A108" s="58">
        <v>15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 ht="18" x14ac:dyDescent="0.35">
      <c r="A109" s="58">
        <v>15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 ht="18" x14ac:dyDescent="0.35">
      <c r="A110" s="58">
        <v>15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 ht="18" x14ac:dyDescent="0.35">
      <c r="A111" s="58">
        <v>15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 ht="18" x14ac:dyDescent="0.35">
      <c r="A112" s="58">
        <v>15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 ht="18" x14ac:dyDescent="0.35">
      <c r="A113" s="58">
        <v>15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 ht="18" x14ac:dyDescent="0.35">
      <c r="A114" s="58">
        <v>15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 ht="18" x14ac:dyDescent="0.35">
      <c r="A115" s="58">
        <v>16.989999999999998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 ht="18" x14ac:dyDescent="0.35">
      <c r="A116" s="58">
        <v>17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 ht="18" x14ac:dyDescent="0.35">
      <c r="A117" s="58">
        <v>20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 ht="18" x14ac:dyDescent="0.35">
      <c r="A118" s="58">
        <v>20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 ht="18" x14ac:dyDescent="0.35">
      <c r="A119" s="56">
        <v>20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 ht="18" x14ac:dyDescent="0.35">
      <c r="A120" s="58">
        <v>20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 ht="18" x14ac:dyDescent="0.35">
      <c r="A121" s="58">
        <v>20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 ht="18" x14ac:dyDescent="0.35">
      <c r="A122" s="58">
        <v>20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 ht="18" x14ac:dyDescent="0.35">
      <c r="A123" s="58">
        <v>20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 ht="18" x14ac:dyDescent="0.35">
      <c r="A124" s="58">
        <v>20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 ht="18" x14ac:dyDescent="0.35">
      <c r="A125" s="58">
        <v>20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 ht="18" x14ac:dyDescent="0.35">
      <c r="A126" s="58">
        <v>20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 ht="18" x14ac:dyDescent="0.35">
      <c r="A127" s="58">
        <v>20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 ht="18" x14ac:dyDescent="0.35">
      <c r="A128" s="58">
        <v>20</v>
      </c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 ht="18" x14ac:dyDescent="0.35">
      <c r="A129" s="56">
        <v>20.010000000000002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 ht="18" x14ac:dyDescent="0.35">
      <c r="A130" s="58">
        <v>20.010000000000002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 ht="18" x14ac:dyDescent="0.35">
      <c r="A131" s="58">
        <v>22.5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 ht="18" x14ac:dyDescent="0.35">
      <c r="A132" s="58">
        <v>23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 ht="18" x14ac:dyDescent="0.35">
      <c r="A133" s="58">
        <v>23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 ht="18" x14ac:dyDescent="0.35">
      <c r="A134" s="58">
        <v>25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 ht="18" x14ac:dyDescent="0.35">
      <c r="A135" s="58">
        <v>25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 ht="18" x14ac:dyDescent="0.35">
      <c r="A136" s="58">
        <v>25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 ht="18" x14ac:dyDescent="0.35">
      <c r="A137" s="58">
        <v>25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 ht="18" x14ac:dyDescent="0.35">
      <c r="A138" s="58">
        <v>30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 ht="18" x14ac:dyDescent="0.35">
      <c r="A139" s="58">
        <v>40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 ht="18" x14ac:dyDescent="0.35">
      <c r="A140" s="58">
        <v>40</v>
      </c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 ht="18" x14ac:dyDescent="0.35">
      <c r="A141" s="58">
        <v>40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 ht="18" x14ac:dyDescent="0.35">
      <c r="A142" s="58">
        <v>40</v>
      </c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 ht="18" x14ac:dyDescent="0.35">
      <c r="A143" s="58">
        <v>40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 ht="18" x14ac:dyDescent="0.35">
      <c r="A144" s="58">
        <v>40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 ht="18" x14ac:dyDescent="0.35">
      <c r="A145" s="58">
        <v>50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 ht="18" x14ac:dyDescent="0.35">
      <c r="A146" s="58">
        <v>50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 ht="18" x14ac:dyDescent="0.35">
      <c r="A147" s="58">
        <v>50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 ht="18" x14ac:dyDescent="0.35">
      <c r="A148" s="58">
        <v>50</v>
      </c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 ht="18" x14ac:dyDescent="0.35">
      <c r="A149" s="58">
        <v>50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 ht="18" x14ac:dyDescent="0.35">
      <c r="A150" s="58">
        <v>50</v>
      </c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 ht="18" x14ac:dyDescent="0.35">
      <c r="A151" s="58">
        <v>51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 ht="18" x14ac:dyDescent="0.35">
      <c r="A152" s="58">
        <v>54</v>
      </c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 ht="18" x14ac:dyDescent="0.35">
      <c r="A153" s="58">
        <v>100</v>
      </c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 ht="18" x14ac:dyDescent="0.35">
      <c r="A154" s="58">
        <v>100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 ht="18" x14ac:dyDescent="0.35">
      <c r="A155" s="58">
        <v>3000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 ht="18" x14ac:dyDescent="0.35">
      <c r="C156" s="34"/>
      <c r="D156" s="34"/>
      <c r="E156" s="34"/>
      <c r="F156" s="34"/>
      <c r="G156" s="34"/>
      <c r="H156" s="34"/>
      <c r="I156" s="34"/>
      <c r="J156" s="34"/>
      <c r="K156" s="34"/>
    </row>
  </sheetData>
  <sortState xmlns:xlrd2="http://schemas.microsoft.com/office/spreadsheetml/2017/richdata2" ref="A2:A155">
    <sortCondition ref="A1"/>
  </sortState>
  <mergeCells count="1">
    <mergeCell ref="C1:K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topLeftCell="A16" workbookViewId="0">
      <selection activeCell="E32" sqref="E32"/>
    </sheetView>
  </sheetViews>
  <sheetFormatPr defaultColWidth="11.44140625" defaultRowHeight="14.4" x14ac:dyDescent="0.3"/>
  <cols>
    <col min="1" max="1" width="13.6640625" style="1" customWidth="1"/>
    <col min="2" max="2" width="11.5546875"/>
    <col min="3" max="3" width="16.44140625" customWidth="1"/>
    <col min="4" max="4" width="23.33203125" customWidth="1"/>
    <col min="5" max="5" width="11.5546875"/>
    <col min="6" max="6" width="15.44140625" customWidth="1"/>
    <col min="7" max="7" width="11.5546875"/>
    <col min="8" max="9" width="11.44140625" style="95"/>
    <col min="10" max="10" width="21.33203125" style="95" customWidth="1"/>
    <col min="11" max="16384" width="11.44140625" style="95"/>
  </cols>
  <sheetData>
    <row r="1" spans="1:11" ht="18" x14ac:dyDescent="0.35">
      <c r="A1" s="54" t="s">
        <v>17</v>
      </c>
      <c r="B1" s="34"/>
      <c r="C1" s="34"/>
      <c r="D1" s="34"/>
      <c r="E1" s="34"/>
      <c r="F1" s="34"/>
      <c r="G1" s="55"/>
      <c r="H1" s="93"/>
      <c r="I1" s="94"/>
      <c r="J1" s="94"/>
      <c r="K1" s="94"/>
    </row>
    <row r="2" spans="1:11" ht="20.25" customHeight="1" x14ac:dyDescent="0.35">
      <c r="A2" s="56">
        <v>0</v>
      </c>
      <c r="B2" s="34"/>
      <c r="C2" s="57"/>
      <c r="D2" s="55"/>
      <c r="E2" s="55"/>
      <c r="F2" s="55"/>
      <c r="G2" s="55"/>
      <c r="H2" s="93"/>
      <c r="I2" s="94"/>
      <c r="J2" s="94"/>
      <c r="K2" s="94"/>
    </row>
    <row r="3" spans="1:11" ht="18" x14ac:dyDescent="0.35">
      <c r="A3" s="58">
        <v>0.01</v>
      </c>
      <c r="B3" s="34"/>
      <c r="C3" s="102" t="s">
        <v>56</v>
      </c>
      <c r="D3" s="55"/>
      <c r="E3" s="55"/>
      <c r="F3" s="55"/>
      <c r="G3" s="34"/>
      <c r="H3" s="96"/>
    </row>
    <row r="4" spans="1:11" ht="18.600000000000001" thickBot="1" x14ac:dyDescent="0.4">
      <c r="A4" s="58">
        <v>0.05</v>
      </c>
      <c r="B4" s="34"/>
      <c r="C4" s="77"/>
      <c r="D4" s="55"/>
      <c r="E4" s="55"/>
      <c r="F4" s="55"/>
      <c r="G4" s="34"/>
      <c r="H4" s="96"/>
    </row>
    <row r="5" spans="1:11" ht="18" x14ac:dyDescent="0.35">
      <c r="A5" s="58">
        <v>0.1</v>
      </c>
      <c r="B5" s="34"/>
      <c r="C5" s="102" t="s">
        <v>82</v>
      </c>
      <c r="D5" s="59" t="s">
        <v>18</v>
      </c>
      <c r="E5" s="60">
        <f>MIN(A2:A155)</f>
        <v>0</v>
      </c>
      <c r="F5" s="55"/>
      <c r="G5" s="34"/>
      <c r="H5" s="96"/>
    </row>
    <row r="6" spans="1:11" ht="18" x14ac:dyDescent="0.35">
      <c r="A6" s="58">
        <v>0.25</v>
      </c>
      <c r="B6" s="34"/>
      <c r="C6" s="77"/>
      <c r="D6" s="63" t="s">
        <v>95</v>
      </c>
      <c r="E6" s="64">
        <f>QUARTILE(A2:A155,1)</f>
        <v>5</v>
      </c>
      <c r="F6" s="55"/>
      <c r="G6" s="34"/>
      <c r="H6" s="96"/>
    </row>
    <row r="7" spans="1:11" ht="18" x14ac:dyDescent="0.35">
      <c r="A7" s="58">
        <v>0.25</v>
      </c>
      <c r="B7" s="34"/>
      <c r="C7" s="77"/>
      <c r="D7" s="63" t="s">
        <v>96</v>
      </c>
      <c r="E7" s="65">
        <f>MEDIAN(A2:A155)</f>
        <v>10</v>
      </c>
      <c r="F7" s="55"/>
      <c r="G7" s="34"/>
      <c r="H7" s="96"/>
    </row>
    <row r="8" spans="1:11" ht="18" x14ac:dyDescent="0.35">
      <c r="A8" s="58">
        <v>0.5</v>
      </c>
      <c r="B8" s="34"/>
      <c r="C8" s="77"/>
      <c r="D8" s="63" t="s">
        <v>97</v>
      </c>
      <c r="E8" s="64">
        <f>QUARTILE(A2:A155,3)</f>
        <v>19.25</v>
      </c>
      <c r="F8" s="55"/>
      <c r="G8" s="34"/>
      <c r="H8" s="96"/>
    </row>
    <row r="9" spans="1:11" ht="18" x14ac:dyDescent="0.35">
      <c r="A9" s="58">
        <v>1</v>
      </c>
      <c r="B9" s="34"/>
      <c r="C9" s="77"/>
      <c r="D9" s="63" t="s">
        <v>80</v>
      </c>
      <c r="E9" s="64">
        <f>PERCENTILE($A$2:$A$155,0.9)</f>
        <v>40</v>
      </c>
      <c r="F9" s="55"/>
      <c r="G9" s="34"/>
      <c r="H9" s="96"/>
    </row>
    <row r="10" spans="1:11" ht="18" x14ac:dyDescent="0.35">
      <c r="A10" s="58">
        <v>1</v>
      </c>
      <c r="B10" s="34"/>
      <c r="C10" s="77"/>
      <c r="D10" s="63" t="s">
        <v>81</v>
      </c>
      <c r="E10" s="64">
        <f>PERCENTILE($A$2:$A$155,0.99)</f>
        <v>100</v>
      </c>
      <c r="F10" s="55"/>
      <c r="G10" s="34"/>
      <c r="H10" s="96"/>
    </row>
    <row r="11" spans="1:11" ht="18.600000000000001" thickBot="1" x14ac:dyDescent="0.4">
      <c r="A11" s="58">
        <v>1</v>
      </c>
      <c r="B11" s="34"/>
      <c r="C11" s="77"/>
      <c r="D11" s="61" t="s">
        <v>20</v>
      </c>
      <c r="E11" s="92">
        <f>MAX($A$2:$A$155,0.99)</f>
        <v>3000</v>
      </c>
      <c r="F11" s="113" t="str">
        <f>IF(Feuil2!AZ16&lt;0.000000001,"Bravo!","Valeur incorrecte")</f>
        <v>Bravo!</v>
      </c>
      <c r="G11" s="34"/>
      <c r="H11" s="96"/>
    </row>
    <row r="12" spans="1:11" ht="18" x14ac:dyDescent="0.35">
      <c r="A12" s="58">
        <v>1</v>
      </c>
      <c r="B12" s="34"/>
      <c r="C12" s="34"/>
      <c r="D12" s="34"/>
      <c r="E12" s="34"/>
      <c r="F12" s="34"/>
      <c r="G12" s="34"/>
      <c r="H12" s="96"/>
    </row>
    <row r="13" spans="1:11" ht="16.5" customHeight="1" thickBot="1" x14ac:dyDescent="0.4">
      <c r="A13" s="58">
        <v>1</v>
      </c>
      <c r="B13" s="34"/>
      <c r="C13" s="66" t="s">
        <v>83</v>
      </c>
      <c r="D13" s="34"/>
      <c r="E13" s="34"/>
      <c r="F13" s="34"/>
      <c r="G13" s="34"/>
      <c r="H13" s="96"/>
      <c r="I13" s="96"/>
      <c r="J13" s="96"/>
      <c r="K13" s="96"/>
    </row>
    <row r="14" spans="1:11" ht="18" x14ac:dyDescent="0.35">
      <c r="A14" s="58">
        <v>1</v>
      </c>
      <c r="B14" s="34"/>
      <c r="D14" s="59" t="s">
        <v>19</v>
      </c>
      <c r="E14" s="87">
        <f>AVERAGE($A$2:$A$155)</f>
        <v>33.015974025974025</v>
      </c>
      <c r="F14" s="113" t="str">
        <f>IF(Feuil2!AZ17&lt;0.000001,"Bravo!","Valeur incorrecte")</f>
        <v>Bravo!</v>
      </c>
      <c r="H14" s="96"/>
    </row>
    <row r="15" spans="1:11" ht="18.600000000000001" thickBot="1" x14ac:dyDescent="0.4">
      <c r="A15" s="58">
        <v>2</v>
      </c>
      <c r="B15" s="34"/>
      <c r="C15" s="34"/>
      <c r="D15" s="61" t="s">
        <v>21</v>
      </c>
      <c r="E15" s="62">
        <f>_xlfn.STDEV.S(A2:A155)</f>
        <v>241.18228200057703</v>
      </c>
      <c r="H15" s="96"/>
    </row>
    <row r="16" spans="1:11" ht="18" x14ac:dyDescent="0.35">
      <c r="A16" s="58">
        <v>2</v>
      </c>
      <c r="B16" s="34"/>
      <c r="C16" s="34"/>
      <c r="D16" s="34"/>
      <c r="E16" s="34"/>
      <c r="H16" s="96"/>
    </row>
    <row r="17" spans="1:10" ht="18" x14ac:dyDescent="0.35">
      <c r="A17" s="58">
        <v>2</v>
      </c>
      <c r="B17" s="34"/>
      <c r="C17" s="102" t="s">
        <v>87</v>
      </c>
      <c r="D17" s="34"/>
      <c r="E17" s="34"/>
      <c r="H17" s="96"/>
    </row>
    <row r="18" spans="1:10" ht="18" x14ac:dyDescent="0.35">
      <c r="A18" s="58">
        <v>2</v>
      </c>
      <c r="B18" s="34"/>
      <c r="C18" s="34"/>
      <c r="D18" s="34"/>
      <c r="E18" s="34"/>
      <c r="H18" s="96"/>
    </row>
    <row r="19" spans="1:10" ht="18" x14ac:dyDescent="0.35">
      <c r="A19" s="58">
        <v>2</v>
      </c>
      <c r="B19" s="34"/>
      <c r="C19" s="66" t="s">
        <v>84</v>
      </c>
      <c r="D19" s="34"/>
      <c r="E19" s="34"/>
      <c r="H19" s="96"/>
    </row>
    <row r="20" spans="1:10" ht="18" x14ac:dyDescent="0.35">
      <c r="A20" s="58">
        <v>2</v>
      </c>
      <c r="B20" s="34"/>
      <c r="C20" s="34" t="s">
        <v>85</v>
      </c>
      <c r="D20" s="34"/>
      <c r="E20" s="34"/>
      <c r="H20" s="96"/>
      <c r="I20" s="86">
        <f>COUNTIF($A$2:$A$155,"3000")</f>
        <v>1</v>
      </c>
      <c r="J20" s="113" t="str">
        <f>IF(Feuil2!BA18=0,"Bravo!","Valeur incorrecte")</f>
        <v>Bravo!</v>
      </c>
    </row>
    <row r="21" spans="1:10" ht="18" x14ac:dyDescent="0.35">
      <c r="A21" s="58">
        <v>2</v>
      </c>
      <c r="B21" s="34"/>
      <c r="C21" s="34" t="s">
        <v>86</v>
      </c>
      <c r="D21" s="34"/>
      <c r="E21" s="34"/>
      <c r="H21" s="96"/>
      <c r="I21" s="86">
        <f>COUNTIF($A$2:$A$155,"&gt;=99.99")</f>
        <v>3</v>
      </c>
      <c r="J21" s="113" t="str">
        <f>IF(Feuil2!BB18=0,"Bravo!","Valeur incorrecte")</f>
        <v>Bravo!</v>
      </c>
    </row>
    <row r="22" spans="1:10" ht="18" x14ac:dyDescent="0.35">
      <c r="A22" s="58">
        <v>2</v>
      </c>
      <c r="B22" s="34"/>
      <c r="C22" s="34"/>
      <c r="D22" s="34"/>
      <c r="E22" s="34"/>
      <c r="F22" s="34"/>
      <c r="G22" s="34"/>
      <c r="H22" s="96"/>
    </row>
    <row r="23" spans="1:10" ht="18.600000000000001" thickBot="1" x14ac:dyDescent="0.4">
      <c r="A23" s="58">
        <v>2</v>
      </c>
      <c r="B23" s="34"/>
      <c r="C23" s="66" t="s">
        <v>89</v>
      </c>
      <c r="D23" s="34"/>
      <c r="E23" s="34"/>
      <c r="F23" s="34"/>
      <c r="G23" s="34"/>
      <c r="H23" s="96"/>
    </row>
    <row r="24" spans="1:10" ht="54" x14ac:dyDescent="0.35">
      <c r="A24" s="58">
        <v>2.78</v>
      </c>
      <c r="B24" s="34"/>
      <c r="C24" s="47" t="s">
        <v>22</v>
      </c>
      <c r="D24" s="51" t="s">
        <v>23</v>
      </c>
      <c r="E24" s="48" t="s">
        <v>24</v>
      </c>
      <c r="F24" s="34"/>
      <c r="G24" s="34"/>
      <c r="H24" s="96"/>
    </row>
    <row r="25" spans="1:10" ht="18" x14ac:dyDescent="0.35">
      <c r="A25" s="58">
        <v>3</v>
      </c>
      <c r="B25" s="34"/>
      <c r="C25" s="49">
        <v>5</v>
      </c>
      <c r="D25" s="88">
        <f>COUNTIF($A$2:$A$155,"&gt;=5")</f>
        <v>125</v>
      </c>
      <c r="E25" s="89">
        <f>D25*C25</f>
        <v>625</v>
      </c>
      <c r="F25" s="34"/>
      <c r="G25" s="68"/>
      <c r="H25" s="96"/>
    </row>
    <row r="26" spans="1:10" ht="18" x14ac:dyDescent="0.35">
      <c r="A26" s="58">
        <v>3</v>
      </c>
      <c r="B26" s="34"/>
      <c r="C26" s="49">
        <v>15</v>
      </c>
      <c r="D26" s="88">
        <f>COUNTIF($A$2:$A$155,"&gt;=15")</f>
        <v>48</v>
      </c>
      <c r="E26" s="89">
        <f t="shared" ref="E26:E28" si="0">D26*C26</f>
        <v>720</v>
      </c>
      <c r="F26" s="34"/>
      <c r="G26" s="68"/>
      <c r="H26" s="96"/>
    </row>
    <row r="27" spans="1:10" ht="18" x14ac:dyDescent="0.35">
      <c r="A27" s="58">
        <v>3.25</v>
      </c>
      <c r="B27" s="34"/>
      <c r="C27" s="49">
        <v>25</v>
      </c>
      <c r="D27" s="88">
        <f>COUNTIF($A$2:$A$155,"&gt;=25")</f>
        <v>22</v>
      </c>
      <c r="E27" s="89">
        <f t="shared" si="0"/>
        <v>550</v>
      </c>
      <c r="F27" s="34"/>
      <c r="G27" s="68"/>
      <c r="H27" s="96"/>
    </row>
    <row r="28" spans="1:10" ht="18.600000000000001" thickBot="1" x14ac:dyDescent="0.4">
      <c r="A28" s="58">
        <v>4</v>
      </c>
      <c r="B28" s="34"/>
      <c r="C28" s="50">
        <v>35</v>
      </c>
      <c r="D28" s="90">
        <f>COUNTIF($A$2:$A$155,"&gt;=35")</f>
        <v>17</v>
      </c>
      <c r="E28" s="91">
        <f t="shared" si="0"/>
        <v>595</v>
      </c>
      <c r="F28" s="34"/>
      <c r="G28" s="68"/>
      <c r="H28" s="96"/>
    </row>
    <row r="29" spans="1:10" ht="18" x14ac:dyDescent="0.35">
      <c r="A29" s="58">
        <v>4</v>
      </c>
      <c r="B29" s="34"/>
      <c r="C29" s="112"/>
      <c r="D29" s="113" t="str">
        <f>IF(Feuil2!BA23=0,"Bravo!","Valeurs incorrectes")</f>
        <v>Bravo!</v>
      </c>
      <c r="E29" s="113" t="str">
        <f>IF(Feuil2!BB23=0,"Bravo!","Valeurs incorrectes")</f>
        <v>Bravo!</v>
      </c>
      <c r="F29" s="34"/>
      <c r="G29" s="68"/>
      <c r="H29" s="96"/>
    </row>
    <row r="30" spans="1:10" ht="18" x14ac:dyDescent="0.35">
      <c r="A30" s="58">
        <v>4</v>
      </c>
      <c r="B30" s="34"/>
      <c r="C30" s="34"/>
      <c r="D30" s="34"/>
      <c r="E30" s="34"/>
      <c r="F30" s="34"/>
      <c r="G30" s="68"/>
      <c r="H30" s="96"/>
    </row>
    <row r="31" spans="1:10" ht="18" x14ac:dyDescent="0.35">
      <c r="A31" s="56">
        <v>5</v>
      </c>
      <c r="B31" s="34"/>
      <c r="C31" s="34" t="s">
        <v>90</v>
      </c>
      <c r="D31" s="34"/>
      <c r="E31" s="103">
        <v>15</v>
      </c>
      <c r="F31" s="113" t="str">
        <f>IF(Feuil2!BC20=0,"Bravo!","Valeur incorrecte")</f>
        <v>Bravo!</v>
      </c>
      <c r="G31" s="68"/>
      <c r="H31" s="96"/>
    </row>
    <row r="32" spans="1:10" ht="18" x14ac:dyDescent="0.35">
      <c r="A32" s="58">
        <v>5</v>
      </c>
      <c r="B32" s="34"/>
      <c r="C32" s="34"/>
      <c r="D32" s="34"/>
      <c r="E32" s="34"/>
      <c r="F32" s="34"/>
      <c r="G32" s="68"/>
      <c r="H32" s="96"/>
    </row>
    <row r="33" spans="1:8" ht="18" x14ac:dyDescent="0.35">
      <c r="A33" s="58">
        <v>5</v>
      </c>
      <c r="B33" s="34"/>
      <c r="C33" s="34"/>
      <c r="D33" s="34"/>
      <c r="E33" s="34"/>
      <c r="F33" s="34"/>
      <c r="G33" s="68"/>
      <c r="H33" s="96"/>
    </row>
    <row r="34" spans="1:8" ht="18" x14ac:dyDescent="0.35">
      <c r="A34" s="58">
        <v>5</v>
      </c>
      <c r="B34" s="34"/>
      <c r="C34" s="34"/>
      <c r="D34" s="34"/>
      <c r="E34" s="34"/>
      <c r="F34" s="34"/>
      <c r="G34" s="68"/>
      <c r="H34" s="96"/>
    </row>
    <row r="35" spans="1:8" ht="18" x14ac:dyDescent="0.35">
      <c r="A35" s="58">
        <v>5</v>
      </c>
      <c r="B35" s="34"/>
      <c r="C35" s="34"/>
      <c r="D35" s="34"/>
      <c r="E35" s="34"/>
      <c r="F35" s="34"/>
      <c r="G35" s="68"/>
      <c r="H35" s="96"/>
    </row>
    <row r="36" spans="1:8" ht="18" x14ac:dyDescent="0.35">
      <c r="A36" s="58">
        <v>5</v>
      </c>
      <c r="B36" s="34"/>
      <c r="C36" s="34"/>
      <c r="D36" s="34"/>
      <c r="E36" s="34"/>
      <c r="F36" s="34"/>
      <c r="G36" s="68"/>
      <c r="H36" s="96"/>
    </row>
    <row r="37" spans="1:8" ht="18" x14ac:dyDescent="0.35">
      <c r="A37" s="58">
        <v>5</v>
      </c>
      <c r="B37" s="34"/>
      <c r="C37" s="34"/>
      <c r="D37" s="34"/>
      <c r="E37" s="34"/>
      <c r="F37" s="34"/>
      <c r="G37" s="68"/>
      <c r="H37" s="96"/>
    </row>
    <row r="38" spans="1:8" ht="18" x14ac:dyDescent="0.35">
      <c r="A38" s="58">
        <v>5</v>
      </c>
      <c r="B38" s="34"/>
      <c r="C38" s="34"/>
      <c r="D38" s="34"/>
      <c r="E38" s="34"/>
      <c r="F38" s="34"/>
      <c r="G38" s="68"/>
      <c r="H38" s="96"/>
    </row>
    <row r="39" spans="1:8" ht="18" x14ac:dyDescent="0.35">
      <c r="A39" s="58">
        <v>5</v>
      </c>
      <c r="B39" s="34"/>
      <c r="C39" s="34"/>
      <c r="D39" s="34"/>
      <c r="E39" s="34"/>
      <c r="F39" s="34"/>
      <c r="G39" s="68"/>
      <c r="H39" s="96"/>
    </row>
    <row r="40" spans="1:8" ht="18" x14ac:dyDescent="0.35">
      <c r="A40" s="58">
        <v>5</v>
      </c>
      <c r="B40" s="34"/>
      <c r="C40" s="34"/>
      <c r="D40" s="34"/>
      <c r="E40" s="34"/>
      <c r="F40" s="34"/>
      <c r="G40" s="68"/>
      <c r="H40" s="96"/>
    </row>
    <row r="41" spans="1:8" ht="18" x14ac:dyDescent="0.35">
      <c r="A41" s="58">
        <v>5</v>
      </c>
      <c r="B41" s="34"/>
      <c r="C41" s="34"/>
      <c r="D41" s="34"/>
      <c r="E41" s="34"/>
      <c r="F41" s="34"/>
      <c r="G41" s="68"/>
      <c r="H41" s="96"/>
    </row>
    <row r="42" spans="1:8" ht="18" x14ac:dyDescent="0.35">
      <c r="A42" s="58">
        <v>5</v>
      </c>
      <c r="B42" s="34"/>
      <c r="C42" s="34"/>
      <c r="D42" s="34"/>
      <c r="E42" s="34"/>
      <c r="F42" s="34"/>
      <c r="G42" s="68"/>
      <c r="H42" s="96"/>
    </row>
    <row r="43" spans="1:8" ht="18" x14ac:dyDescent="0.35">
      <c r="A43" s="58">
        <v>5</v>
      </c>
      <c r="B43" s="34"/>
      <c r="C43" s="34"/>
      <c r="D43" s="34"/>
      <c r="E43" s="34"/>
      <c r="F43" s="34"/>
      <c r="G43" s="68"/>
      <c r="H43" s="96"/>
    </row>
    <row r="44" spans="1:8" ht="18" x14ac:dyDescent="0.35">
      <c r="A44" s="58">
        <v>5</v>
      </c>
      <c r="B44" s="34"/>
      <c r="C44" s="34"/>
      <c r="D44" s="34"/>
      <c r="E44" s="34"/>
      <c r="F44" s="34"/>
      <c r="G44" s="68"/>
      <c r="H44" s="96"/>
    </row>
    <row r="45" spans="1:8" ht="18" x14ac:dyDescent="0.35">
      <c r="A45" s="58">
        <v>5</v>
      </c>
      <c r="B45" s="34"/>
      <c r="C45" s="34"/>
      <c r="D45" s="34"/>
      <c r="E45" s="34"/>
      <c r="F45" s="34"/>
      <c r="G45" s="68"/>
      <c r="H45" s="96"/>
    </row>
    <row r="46" spans="1:8" ht="18" x14ac:dyDescent="0.35">
      <c r="A46" s="58">
        <v>5</v>
      </c>
      <c r="B46" s="34"/>
      <c r="C46" s="34"/>
      <c r="D46" s="34"/>
      <c r="E46" s="34"/>
      <c r="F46" s="34"/>
      <c r="G46" s="68"/>
      <c r="H46" s="96"/>
    </row>
    <row r="47" spans="1:8" ht="18" x14ac:dyDescent="0.35">
      <c r="A47" s="58">
        <v>5</v>
      </c>
      <c r="B47" s="34"/>
      <c r="C47" s="34"/>
      <c r="D47" s="34"/>
      <c r="E47" s="34"/>
      <c r="F47" s="34"/>
      <c r="G47" s="68"/>
      <c r="H47" s="96"/>
    </row>
    <row r="48" spans="1:8" ht="18" x14ac:dyDescent="0.35">
      <c r="A48" s="58">
        <v>5</v>
      </c>
      <c r="B48" s="34"/>
      <c r="C48" s="34"/>
      <c r="D48" s="34"/>
      <c r="E48" s="34"/>
      <c r="F48" s="34"/>
      <c r="G48" s="68"/>
      <c r="H48" s="96"/>
    </row>
    <row r="49" spans="1:8" ht="18" x14ac:dyDescent="0.35">
      <c r="A49" s="58">
        <v>5</v>
      </c>
      <c r="B49" s="34"/>
      <c r="C49" s="34"/>
      <c r="D49" s="34"/>
      <c r="E49" s="34"/>
      <c r="F49" s="34"/>
      <c r="G49" s="68"/>
      <c r="H49" s="96"/>
    </row>
    <row r="50" spans="1:8" ht="18" x14ac:dyDescent="0.35">
      <c r="A50" s="58">
        <v>5</v>
      </c>
      <c r="B50" s="34"/>
      <c r="C50" s="34"/>
      <c r="D50" s="34"/>
      <c r="E50" s="34"/>
      <c r="F50" s="34"/>
      <c r="G50" s="68"/>
      <c r="H50" s="96"/>
    </row>
    <row r="51" spans="1:8" ht="18" x14ac:dyDescent="0.35">
      <c r="A51" s="58">
        <v>5</v>
      </c>
      <c r="B51" s="34"/>
      <c r="C51" s="34"/>
      <c r="D51" s="34"/>
      <c r="E51" s="34"/>
      <c r="F51" s="34"/>
      <c r="G51" s="68"/>
      <c r="H51" s="96"/>
    </row>
    <row r="52" spans="1:8" ht="18" x14ac:dyDescent="0.35">
      <c r="A52" s="58">
        <v>5</v>
      </c>
      <c r="B52" s="34"/>
      <c r="C52" s="34"/>
      <c r="D52" s="34"/>
      <c r="E52" s="34"/>
      <c r="F52" s="34"/>
      <c r="G52" s="68"/>
      <c r="H52" s="96"/>
    </row>
    <row r="53" spans="1:8" ht="18" x14ac:dyDescent="0.35">
      <c r="A53" s="58">
        <v>5</v>
      </c>
      <c r="B53" s="34"/>
      <c r="C53" s="34"/>
      <c r="D53" s="34"/>
      <c r="E53" s="34"/>
      <c r="F53" s="34"/>
      <c r="G53" s="68"/>
      <c r="H53" s="96"/>
    </row>
    <row r="54" spans="1:8" ht="18" x14ac:dyDescent="0.35">
      <c r="A54" s="58">
        <v>5</v>
      </c>
      <c r="B54" s="34"/>
      <c r="C54" s="34"/>
      <c r="D54" s="34"/>
      <c r="E54" s="34"/>
      <c r="F54" s="34"/>
      <c r="G54" s="68"/>
      <c r="H54" s="96"/>
    </row>
    <row r="55" spans="1:8" ht="18" x14ac:dyDescent="0.35">
      <c r="A55" s="58">
        <v>5</v>
      </c>
      <c r="B55" s="34"/>
      <c r="C55" s="34"/>
      <c r="D55" s="34"/>
      <c r="E55" s="34"/>
      <c r="F55" s="34"/>
      <c r="G55" s="68"/>
      <c r="H55" s="96"/>
    </row>
    <row r="56" spans="1:8" ht="18" x14ac:dyDescent="0.35">
      <c r="A56" s="58">
        <v>5</v>
      </c>
      <c r="B56" s="34"/>
      <c r="C56" s="34"/>
      <c r="D56" s="34"/>
      <c r="E56" s="34"/>
      <c r="F56" s="34"/>
      <c r="G56" s="68"/>
      <c r="H56" s="96"/>
    </row>
    <row r="57" spans="1:8" ht="18" x14ac:dyDescent="0.35">
      <c r="A57" s="58">
        <v>5</v>
      </c>
      <c r="B57" s="34"/>
      <c r="C57" s="34"/>
      <c r="D57" s="34"/>
      <c r="E57" s="34"/>
      <c r="F57" s="34"/>
      <c r="G57" s="68"/>
      <c r="H57" s="96"/>
    </row>
    <row r="58" spans="1:8" ht="18" x14ac:dyDescent="0.35">
      <c r="A58" s="58">
        <v>5</v>
      </c>
      <c r="B58" s="34"/>
      <c r="C58" s="34"/>
      <c r="D58" s="34"/>
      <c r="E58" s="34"/>
      <c r="F58" s="34"/>
      <c r="G58" s="68"/>
      <c r="H58" s="96"/>
    </row>
    <row r="59" spans="1:8" ht="18" x14ac:dyDescent="0.35">
      <c r="A59" s="58">
        <v>5</v>
      </c>
      <c r="B59" s="34"/>
      <c r="C59" s="34"/>
      <c r="D59" s="34"/>
      <c r="E59" s="34"/>
      <c r="F59" s="34"/>
      <c r="G59" s="68"/>
      <c r="H59" s="96"/>
    </row>
    <row r="60" spans="1:8" ht="18" x14ac:dyDescent="0.35">
      <c r="A60" s="58">
        <v>5</v>
      </c>
      <c r="B60" s="34"/>
      <c r="C60" s="34"/>
      <c r="D60" s="34"/>
      <c r="E60" s="34"/>
      <c r="F60" s="34"/>
      <c r="G60" s="68"/>
      <c r="H60" s="96"/>
    </row>
    <row r="61" spans="1:8" ht="18" x14ac:dyDescent="0.35">
      <c r="A61" s="58">
        <v>5</v>
      </c>
      <c r="B61" s="34"/>
      <c r="C61" s="34"/>
      <c r="D61" s="34"/>
      <c r="E61" s="34"/>
      <c r="F61" s="34"/>
      <c r="G61" s="68"/>
      <c r="H61" s="96"/>
    </row>
    <row r="62" spans="1:8" ht="18" x14ac:dyDescent="0.35">
      <c r="A62" s="58">
        <v>5</v>
      </c>
      <c r="B62" s="34"/>
      <c r="C62" s="34"/>
      <c r="D62" s="34"/>
      <c r="E62" s="34"/>
      <c r="F62" s="34"/>
      <c r="G62" s="68"/>
      <c r="H62" s="96"/>
    </row>
    <row r="63" spans="1:8" ht="18" x14ac:dyDescent="0.35">
      <c r="A63" s="58">
        <v>5</v>
      </c>
      <c r="B63" s="34"/>
      <c r="C63" s="34"/>
      <c r="D63" s="34"/>
      <c r="E63" s="34"/>
      <c r="F63" s="34"/>
      <c r="G63" s="68"/>
      <c r="H63" s="96"/>
    </row>
    <row r="64" spans="1:8" ht="18" x14ac:dyDescent="0.35">
      <c r="A64" s="58">
        <v>5</v>
      </c>
      <c r="B64" s="34"/>
      <c r="C64" s="34"/>
      <c r="D64" s="34"/>
      <c r="E64" s="34"/>
      <c r="F64" s="34"/>
      <c r="G64" s="68"/>
      <c r="H64" s="96"/>
    </row>
    <row r="65" spans="1:8" ht="18" x14ac:dyDescent="0.35">
      <c r="A65" s="58">
        <v>5</v>
      </c>
      <c r="B65" s="34"/>
      <c r="C65" s="34"/>
      <c r="D65" s="34"/>
      <c r="E65" s="34"/>
      <c r="F65" s="34"/>
      <c r="G65" s="34"/>
      <c r="H65" s="96"/>
    </row>
    <row r="66" spans="1:8" ht="18" x14ac:dyDescent="0.35">
      <c r="A66" s="58">
        <v>5.01</v>
      </c>
      <c r="B66" s="34"/>
      <c r="C66" s="34"/>
      <c r="D66" s="34"/>
      <c r="E66" s="34"/>
      <c r="F66" s="34"/>
      <c r="G66" s="34"/>
      <c r="H66" s="96"/>
    </row>
    <row r="67" spans="1:8" ht="18" x14ac:dyDescent="0.35">
      <c r="A67" s="58">
        <v>6</v>
      </c>
      <c r="B67" s="34"/>
      <c r="C67" s="34"/>
      <c r="D67" s="34"/>
      <c r="E67" s="34"/>
      <c r="F67" s="34"/>
      <c r="G67" s="34"/>
      <c r="H67" s="96"/>
    </row>
    <row r="68" spans="1:8" ht="18" x14ac:dyDescent="0.35">
      <c r="A68" s="58">
        <v>6</v>
      </c>
      <c r="B68" s="34"/>
      <c r="C68" s="34"/>
      <c r="D68" s="34"/>
      <c r="E68" s="34"/>
      <c r="F68" s="34"/>
      <c r="G68" s="34"/>
      <c r="H68" s="96"/>
    </row>
    <row r="69" spans="1:8" ht="18" x14ac:dyDescent="0.35">
      <c r="A69" s="58">
        <v>7</v>
      </c>
      <c r="B69" s="34"/>
      <c r="C69" s="34"/>
      <c r="D69" s="34"/>
      <c r="E69" s="34"/>
      <c r="F69" s="34"/>
      <c r="G69" s="34"/>
      <c r="H69" s="96"/>
    </row>
    <row r="70" spans="1:8" ht="18" x14ac:dyDescent="0.35">
      <c r="A70" s="58">
        <v>7</v>
      </c>
      <c r="B70" s="34"/>
      <c r="C70" s="34"/>
      <c r="D70" s="34"/>
      <c r="E70" s="34"/>
      <c r="F70" s="34"/>
      <c r="G70" s="34"/>
      <c r="H70" s="96"/>
    </row>
    <row r="71" spans="1:8" ht="18" x14ac:dyDescent="0.35">
      <c r="A71" s="58">
        <v>7</v>
      </c>
      <c r="B71" s="34"/>
      <c r="C71" s="34"/>
      <c r="D71" s="34"/>
      <c r="E71" s="34"/>
      <c r="F71" s="34"/>
      <c r="G71" s="34"/>
      <c r="H71" s="96"/>
    </row>
    <row r="72" spans="1:8" ht="18" x14ac:dyDescent="0.35">
      <c r="A72" s="58">
        <v>7.75</v>
      </c>
      <c r="B72" s="34"/>
      <c r="C72" s="34"/>
      <c r="D72" s="34"/>
      <c r="E72" s="34"/>
      <c r="F72" s="34"/>
      <c r="G72" s="34"/>
      <c r="H72" s="96"/>
    </row>
    <row r="73" spans="1:8" ht="18" x14ac:dyDescent="0.35">
      <c r="A73" s="58">
        <v>8</v>
      </c>
      <c r="B73" s="34"/>
      <c r="C73" s="34"/>
      <c r="D73" s="34"/>
      <c r="E73" s="34"/>
      <c r="F73" s="34"/>
      <c r="G73" s="34"/>
      <c r="H73" s="96"/>
    </row>
    <row r="74" spans="1:8" ht="18" x14ac:dyDescent="0.35">
      <c r="A74" s="58">
        <v>8</v>
      </c>
      <c r="B74" s="34"/>
      <c r="C74" s="34"/>
      <c r="D74" s="34"/>
      <c r="E74" s="34"/>
      <c r="F74" s="34"/>
      <c r="G74" s="34"/>
      <c r="H74" s="96"/>
    </row>
    <row r="75" spans="1:8" ht="18" x14ac:dyDescent="0.35">
      <c r="A75" s="58">
        <v>9</v>
      </c>
      <c r="B75" s="34"/>
      <c r="C75" s="34"/>
      <c r="D75" s="34"/>
      <c r="E75" s="34"/>
      <c r="F75" s="34"/>
      <c r="G75" s="34"/>
      <c r="H75" s="96"/>
    </row>
    <row r="76" spans="1:8" ht="18" x14ac:dyDescent="0.35">
      <c r="A76" s="58">
        <v>10</v>
      </c>
      <c r="B76" s="34"/>
      <c r="C76" s="34"/>
      <c r="D76" s="34"/>
      <c r="E76" s="34"/>
      <c r="F76" s="34"/>
      <c r="G76" s="34"/>
      <c r="H76" s="96"/>
    </row>
    <row r="77" spans="1:8" ht="18" x14ac:dyDescent="0.35">
      <c r="A77" s="58">
        <v>10</v>
      </c>
      <c r="B77" s="34"/>
      <c r="C77" s="34"/>
      <c r="D77" s="34"/>
      <c r="E77" s="34"/>
      <c r="F77" s="34"/>
      <c r="G77" s="34"/>
      <c r="H77" s="96"/>
    </row>
    <row r="78" spans="1:8" ht="18" x14ac:dyDescent="0.35">
      <c r="A78" s="58">
        <v>10</v>
      </c>
      <c r="B78" s="34"/>
      <c r="C78" s="34"/>
      <c r="D78" s="34"/>
      <c r="E78" s="34"/>
      <c r="F78" s="34"/>
      <c r="G78" s="34"/>
      <c r="H78" s="96"/>
    </row>
    <row r="79" spans="1:8" ht="18" x14ac:dyDescent="0.35">
      <c r="A79" s="58">
        <v>10</v>
      </c>
      <c r="B79" s="34"/>
      <c r="C79" s="34"/>
      <c r="D79" s="34"/>
      <c r="E79" s="34"/>
      <c r="F79" s="34"/>
      <c r="G79" s="34"/>
      <c r="H79" s="96"/>
    </row>
    <row r="80" spans="1:8" ht="18" x14ac:dyDescent="0.35">
      <c r="A80" s="58">
        <v>10</v>
      </c>
      <c r="B80" s="34"/>
      <c r="C80" s="34"/>
      <c r="D80" s="34"/>
      <c r="E80" s="34"/>
      <c r="F80" s="34"/>
      <c r="G80" s="34"/>
      <c r="H80" s="96"/>
    </row>
    <row r="81" spans="1:8" ht="18" x14ac:dyDescent="0.35">
      <c r="A81" s="58">
        <v>10</v>
      </c>
      <c r="B81" s="34"/>
      <c r="C81" s="34"/>
      <c r="D81" s="34"/>
      <c r="E81" s="34"/>
      <c r="F81" s="34"/>
      <c r="G81" s="34"/>
      <c r="H81" s="96"/>
    </row>
    <row r="82" spans="1:8" ht="18" x14ac:dyDescent="0.35">
      <c r="A82" s="58">
        <v>10</v>
      </c>
      <c r="B82" s="34"/>
      <c r="C82" s="34"/>
      <c r="D82" s="34"/>
      <c r="E82" s="34"/>
      <c r="F82" s="34"/>
      <c r="G82" s="34"/>
      <c r="H82" s="96"/>
    </row>
    <row r="83" spans="1:8" ht="18" x14ac:dyDescent="0.35">
      <c r="A83" s="58">
        <v>10</v>
      </c>
      <c r="B83" s="34"/>
      <c r="C83" s="34"/>
      <c r="D83" s="34"/>
      <c r="E83" s="34"/>
      <c r="F83" s="34"/>
      <c r="G83" s="34"/>
      <c r="H83" s="96"/>
    </row>
    <row r="84" spans="1:8" ht="18" x14ac:dyDescent="0.35">
      <c r="A84" s="58">
        <v>10</v>
      </c>
      <c r="B84" s="34"/>
      <c r="C84" s="34"/>
      <c r="D84" s="34"/>
      <c r="E84" s="34"/>
      <c r="F84" s="34"/>
      <c r="G84" s="34"/>
      <c r="H84" s="96"/>
    </row>
    <row r="85" spans="1:8" ht="18" x14ac:dyDescent="0.35">
      <c r="A85" s="58">
        <v>10</v>
      </c>
      <c r="B85" s="34"/>
      <c r="C85" s="34"/>
      <c r="D85" s="34"/>
      <c r="E85" s="34"/>
      <c r="F85" s="34"/>
      <c r="G85" s="34"/>
      <c r="H85" s="96"/>
    </row>
    <row r="86" spans="1:8" ht="18" x14ac:dyDescent="0.35">
      <c r="A86" s="58">
        <v>10</v>
      </c>
      <c r="B86" s="34"/>
      <c r="C86" s="34"/>
      <c r="D86" s="34"/>
      <c r="E86" s="34"/>
      <c r="F86" s="34"/>
      <c r="G86" s="34"/>
      <c r="H86" s="96"/>
    </row>
    <row r="87" spans="1:8" ht="18" x14ac:dyDescent="0.35">
      <c r="A87" s="58">
        <v>10</v>
      </c>
      <c r="B87" s="34"/>
      <c r="C87" s="34"/>
      <c r="D87" s="34"/>
      <c r="E87" s="34"/>
      <c r="F87" s="34"/>
      <c r="G87" s="34"/>
      <c r="H87" s="96"/>
    </row>
    <row r="88" spans="1:8" ht="18" x14ac:dyDescent="0.35">
      <c r="A88" s="58">
        <v>10</v>
      </c>
      <c r="B88" s="34"/>
      <c r="C88" s="34"/>
      <c r="D88" s="34"/>
      <c r="E88" s="34"/>
      <c r="F88" s="34"/>
      <c r="G88" s="34"/>
      <c r="H88" s="96"/>
    </row>
    <row r="89" spans="1:8" ht="18" x14ac:dyDescent="0.35">
      <c r="A89" s="58">
        <v>10</v>
      </c>
      <c r="B89" s="34"/>
      <c r="C89" s="34"/>
      <c r="D89" s="34"/>
      <c r="E89" s="34"/>
      <c r="F89" s="34"/>
      <c r="G89" s="34"/>
      <c r="H89" s="96"/>
    </row>
    <row r="90" spans="1:8" ht="18" x14ac:dyDescent="0.35">
      <c r="A90" s="58">
        <v>10</v>
      </c>
      <c r="B90" s="34"/>
      <c r="C90" s="34"/>
      <c r="D90" s="34"/>
      <c r="E90" s="34"/>
      <c r="F90" s="34"/>
      <c r="G90" s="34"/>
      <c r="H90" s="96"/>
    </row>
    <row r="91" spans="1:8" ht="18" x14ac:dyDescent="0.35">
      <c r="A91" s="58">
        <v>10</v>
      </c>
      <c r="B91" s="34"/>
      <c r="C91" s="34"/>
      <c r="D91" s="34"/>
      <c r="E91" s="34"/>
      <c r="F91" s="34"/>
      <c r="G91" s="34"/>
      <c r="H91" s="96"/>
    </row>
    <row r="92" spans="1:8" ht="18" x14ac:dyDescent="0.35">
      <c r="A92" s="58">
        <v>10</v>
      </c>
      <c r="B92" s="34"/>
      <c r="C92" s="34"/>
      <c r="D92" s="34"/>
      <c r="E92" s="34"/>
      <c r="F92" s="34"/>
      <c r="G92" s="34"/>
      <c r="H92" s="96"/>
    </row>
    <row r="93" spans="1:8" ht="18" x14ac:dyDescent="0.35">
      <c r="A93" s="58">
        <v>10</v>
      </c>
      <c r="B93" s="34"/>
      <c r="C93" s="34"/>
      <c r="D93" s="34"/>
      <c r="E93" s="34"/>
      <c r="F93" s="34"/>
      <c r="G93" s="34"/>
      <c r="H93" s="96"/>
    </row>
    <row r="94" spans="1:8" ht="18" x14ac:dyDescent="0.35">
      <c r="A94" s="58">
        <v>10</v>
      </c>
      <c r="B94" s="34"/>
      <c r="C94" s="34"/>
      <c r="D94" s="34"/>
      <c r="E94" s="34"/>
      <c r="F94" s="34"/>
      <c r="G94" s="34"/>
      <c r="H94" s="96"/>
    </row>
    <row r="95" spans="1:8" ht="18" x14ac:dyDescent="0.35">
      <c r="A95" s="58">
        <v>10</v>
      </c>
      <c r="B95" s="34"/>
      <c r="C95" s="34"/>
      <c r="D95" s="34"/>
      <c r="E95" s="34"/>
      <c r="F95" s="34"/>
      <c r="G95" s="34"/>
      <c r="H95" s="96"/>
    </row>
    <row r="96" spans="1:8" ht="18" x14ac:dyDescent="0.35">
      <c r="A96" s="58">
        <v>10</v>
      </c>
      <c r="B96" s="34"/>
      <c r="C96" s="34"/>
      <c r="D96" s="34"/>
      <c r="E96" s="34"/>
      <c r="F96" s="34"/>
      <c r="G96" s="34"/>
      <c r="H96" s="96"/>
    </row>
    <row r="97" spans="1:8" ht="18" x14ac:dyDescent="0.35">
      <c r="A97" s="58">
        <v>10</v>
      </c>
      <c r="B97" s="34"/>
      <c r="C97" s="34"/>
      <c r="D97" s="34"/>
      <c r="E97" s="34"/>
      <c r="F97" s="34"/>
      <c r="G97" s="34"/>
      <c r="H97" s="96"/>
    </row>
    <row r="98" spans="1:8" ht="18" x14ac:dyDescent="0.35">
      <c r="A98" s="58">
        <v>10</v>
      </c>
      <c r="B98" s="34"/>
      <c r="C98" s="34"/>
      <c r="D98" s="34"/>
      <c r="E98" s="34"/>
      <c r="F98" s="34"/>
      <c r="G98" s="34"/>
      <c r="H98" s="96"/>
    </row>
    <row r="99" spans="1:8" ht="18" x14ac:dyDescent="0.35">
      <c r="A99" s="58">
        <v>10</v>
      </c>
      <c r="B99" s="34"/>
      <c r="C99" s="34"/>
      <c r="D99" s="34"/>
      <c r="E99" s="34"/>
      <c r="F99" s="34"/>
      <c r="G99" s="34"/>
      <c r="H99" s="96"/>
    </row>
    <row r="100" spans="1:8" ht="18" x14ac:dyDescent="0.35">
      <c r="A100" s="58">
        <v>10</v>
      </c>
      <c r="B100" s="34"/>
      <c r="C100" s="34"/>
      <c r="D100" s="34"/>
      <c r="E100" s="34"/>
      <c r="F100" s="34"/>
      <c r="G100" s="34"/>
      <c r="H100" s="96"/>
    </row>
    <row r="101" spans="1:8" ht="18" x14ac:dyDescent="0.35">
      <c r="A101" s="58">
        <v>10</v>
      </c>
      <c r="B101" s="34"/>
      <c r="C101" s="34"/>
      <c r="D101" s="34"/>
      <c r="E101" s="34"/>
      <c r="F101" s="34"/>
      <c r="G101" s="34"/>
      <c r="H101" s="96"/>
    </row>
    <row r="102" spans="1:8" ht="18" x14ac:dyDescent="0.35">
      <c r="A102" s="58">
        <v>10</v>
      </c>
      <c r="B102" s="34"/>
      <c r="C102" s="34"/>
      <c r="D102" s="34"/>
      <c r="E102" s="34"/>
      <c r="F102" s="34"/>
      <c r="G102" s="34"/>
      <c r="H102" s="96"/>
    </row>
    <row r="103" spans="1:8" ht="18" x14ac:dyDescent="0.35">
      <c r="A103" s="58">
        <v>10</v>
      </c>
      <c r="B103" s="34"/>
      <c r="C103" s="34"/>
      <c r="D103" s="34"/>
      <c r="E103" s="34"/>
      <c r="F103" s="34"/>
      <c r="G103" s="34"/>
      <c r="H103" s="96"/>
    </row>
    <row r="104" spans="1:8" ht="18" x14ac:dyDescent="0.35">
      <c r="A104" s="58">
        <v>10</v>
      </c>
      <c r="B104" s="34"/>
      <c r="C104" s="34"/>
      <c r="D104" s="34"/>
      <c r="E104" s="34"/>
      <c r="F104" s="34"/>
      <c r="G104" s="34"/>
      <c r="H104" s="96"/>
    </row>
    <row r="105" spans="1:8" ht="18" x14ac:dyDescent="0.35">
      <c r="A105" s="58">
        <v>11</v>
      </c>
      <c r="B105" s="34"/>
      <c r="C105" s="34"/>
      <c r="D105" s="34"/>
      <c r="E105" s="34"/>
      <c r="F105" s="34"/>
      <c r="G105" s="34"/>
      <c r="H105" s="96"/>
    </row>
    <row r="106" spans="1:8" ht="18" x14ac:dyDescent="0.35">
      <c r="A106" s="58">
        <v>12.5</v>
      </c>
      <c r="B106" s="34"/>
      <c r="C106" s="34"/>
      <c r="D106" s="34"/>
      <c r="E106" s="34"/>
      <c r="F106" s="34"/>
      <c r="G106" s="34"/>
      <c r="H106" s="96"/>
    </row>
    <row r="107" spans="1:8" ht="18" x14ac:dyDescent="0.35">
      <c r="A107" s="58">
        <v>13.5</v>
      </c>
      <c r="B107" s="34"/>
      <c r="C107" s="34"/>
      <c r="D107" s="34"/>
      <c r="E107" s="34"/>
      <c r="F107" s="34"/>
      <c r="G107" s="34"/>
      <c r="H107" s="96"/>
    </row>
    <row r="108" spans="1:8" ht="18" x14ac:dyDescent="0.35">
      <c r="A108" s="58">
        <v>15</v>
      </c>
      <c r="B108" s="34"/>
      <c r="C108" s="34"/>
      <c r="D108" s="34"/>
      <c r="E108" s="34"/>
      <c r="F108" s="34"/>
      <c r="G108" s="34"/>
      <c r="H108" s="96"/>
    </row>
    <row r="109" spans="1:8" ht="18" x14ac:dyDescent="0.35">
      <c r="A109" s="58">
        <v>15</v>
      </c>
      <c r="B109" s="34"/>
      <c r="C109" s="34"/>
      <c r="D109" s="34"/>
      <c r="E109" s="34"/>
      <c r="F109" s="34"/>
      <c r="G109" s="34"/>
      <c r="H109" s="96"/>
    </row>
    <row r="110" spans="1:8" ht="18" x14ac:dyDescent="0.35">
      <c r="A110" s="58">
        <v>15</v>
      </c>
      <c r="B110" s="34"/>
      <c r="C110" s="34"/>
      <c r="D110" s="34"/>
      <c r="E110" s="34"/>
      <c r="F110" s="34"/>
      <c r="G110" s="34"/>
      <c r="H110" s="96"/>
    </row>
    <row r="111" spans="1:8" ht="18" x14ac:dyDescent="0.35">
      <c r="A111" s="58">
        <v>15</v>
      </c>
      <c r="B111" s="34"/>
      <c r="C111" s="34"/>
      <c r="D111" s="34"/>
      <c r="E111" s="34"/>
      <c r="F111" s="34"/>
      <c r="G111" s="34"/>
      <c r="H111" s="96"/>
    </row>
    <row r="112" spans="1:8" ht="18" x14ac:dyDescent="0.35">
      <c r="A112" s="58">
        <v>15</v>
      </c>
      <c r="B112" s="34"/>
      <c r="C112" s="34"/>
      <c r="D112" s="34"/>
      <c r="E112" s="34"/>
      <c r="F112" s="34"/>
      <c r="G112" s="34"/>
      <c r="H112" s="96"/>
    </row>
    <row r="113" spans="1:8" ht="18" x14ac:dyDescent="0.35">
      <c r="A113" s="58">
        <v>15</v>
      </c>
      <c r="B113" s="34"/>
      <c r="C113" s="34"/>
      <c r="D113" s="34"/>
      <c r="E113" s="34"/>
      <c r="F113" s="34"/>
      <c r="G113" s="34"/>
      <c r="H113" s="96"/>
    </row>
    <row r="114" spans="1:8" ht="18" x14ac:dyDescent="0.35">
      <c r="A114" s="58">
        <v>15</v>
      </c>
      <c r="B114" s="34"/>
      <c r="C114" s="34"/>
      <c r="D114" s="34"/>
      <c r="E114" s="34"/>
      <c r="F114" s="34"/>
      <c r="G114" s="34"/>
      <c r="H114" s="96"/>
    </row>
    <row r="115" spans="1:8" ht="18" x14ac:dyDescent="0.35">
      <c r="A115" s="58">
        <v>16.989999999999998</v>
      </c>
      <c r="B115" s="34"/>
      <c r="C115" s="34"/>
      <c r="D115" s="34"/>
      <c r="E115" s="34"/>
      <c r="F115" s="34"/>
      <c r="G115" s="34"/>
      <c r="H115" s="96"/>
    </row>
    <row r="116" spans="1:8" ht="18" x14ac:dyDescent="0.35">
      <c r="A116" s="58">
        <v>17</v>
      </c>
      <c r="B116" s="34"/>
      <c r="C116" s="34"/>
      <c r="D116" s="34"/>
      <c r="E116" s="34"/>
      <c r="F116" s="34"/>
      <c r="G116" s="34"/>
      <c r="H116" s="96"/>
    </row>
    <row r="117" spans="1:8" ht="18" x14ac:dyDescent="0.35">
      <c r="A117" s="58">
        <v>20</v>
      </c>
      <c r="B117" s="34"/>
      <c r="C117" s="34"/>
      <c r="D117" s="34"/>
      <c r="E117" s="34"/>
      <c r="F117" s="34"/>
      <c r="G117" s="34"/>
      <c r="H117" s="96"/>
    </row>
    <row r="118" spans="1:8" ht="18" x14ac:dyDescent="0.35">
      <c r="A118" s="58">
        <v>20</v>
      </c>
      <c r="B118" s="34"/>
      <c r="C118" s="34"/>
      <c r="D118" s="34"/>
      <c r="E118" s="34"/>
      <c r="F118" s="34"/>
      <c r="G118" s="34"/>
      <c r="H118" s="96"/>
    </row>
    <row r="119" spans="1:8" ht="18" x14ac:dyDescent="0.35">
      <c r="A119" s="56">
        <v>20</v>
      </c>
      <c r="B119" s="34"/>
      <c r="C119" s="34"/>
      <c r="D119" s="34"/>
      <c r="E119" s="34"/>
      <c r="F119" s="34"/>
      <c r="G119" s="34"/>
      <c r="H119" s="96"/>
    </row>
    <row r="120" spans="1:8" ht="18" x14ac:dyDescent="0.35">
      <c r="A120" s="58">
        <v>20</v>
      </c>
      <c r="B120" s="34"/>
      <c r="C120" s="34"/>
      <c r="D120" s="34"/>
      <c r="E120" s="34"/>
      <c r="F120" s="34"/>
      <c r="G120" s="34"/>
      <c r="H120" s="96"/>
    </row>
    <row r="121" spans="1:8" ht="18" x14ac:dyDescent="0.35">
      <c r="A121" s="58">
        <v>20</v>
      </c>
      <c r="B121" s="34"/>
      <c r="C121" s="34"/>
      <c r="D121" s="34"/>
      <c r="E121" s="34"/>
      <c r="F121" s="34"/>
      <c r="G121" s="34"/>
      <c r="H121" s="96"/>
    </row>
    <row r="122" spans="1:8" ht="18" x14ac:dyDescent="0.35">
      <c r="A122" s="58">
        <v>20</v>
      </c>
      <c r="B122" s="34"/>
      <c r="C122" s="34"/>
      <c r="D122" s="34"/>
      <c r="E122" s="34"/>
      <c r="F122" s="34"/>
      <c r="G122" s="34"/>
      <c r="H122" s="96"/>
    </row>
    <row r="123" spans="1:8" ht="18" x14ac:dyDescent="0.35">
      <c r="A123" s="58">
        <v>20</v>
      </c>
      <c r="B123" s="34"/>
      <c r="C123" s="34"/>
      <c r="D123" s="34"/>
      <c r="E123" s="34"/>
      <c r="F123" s="34"/>
      <c r="G123" s="34"/>
      <c r="H123" s="96"/>
    </row>
    <row r="124" spans="1:8" ht="18" x14ac:dyDescent="0.35">
      <c r="A124" s="58">
        <v>20</v>
      </c>
      <c r="B124" s="34"/>
      <c r="C124" s="34"/>
      <c r="D124" s="34"/>
      <c r="E124" s="34"/>
      <c r="F124" s="34"/>
      <c r="G124" s="34"/>
      <c r="H124" s="96"/>
    </row>
    <row r="125" spans="1:8" ht="18" x14ac:dyDescent="0.35">
      <c r="A125" s="58">
        <v>20</v>
      </c>
      <c r="B125" s="34"/>
      <c r="C125" s="34"/>
      <c r="D125" s="34"/>
      <c r="E125" s="34"/>
      <c r="F125" s="34"/>
      <c r="G125" s="34"/>
      <c r="H125" s="96"/>
    </row>
    <row r="126" spans="1:8" ht="18" x14ac:dyDescent="0.35">
      <c r="A126" s="58">
        <v>20</v>
      </c>
      <c r="B126" s="34"/>
      <c r="C126" s="34"/>
      <c r="D126" s="34"/>
      <c r="E126" s="34"/>
      <c r="F126" s="34"/>
      <c r="G126" s="34"/>
      <c r="H126" s="96"/>
    </row>
    <row r="127" spans="1:8" ht="18" x14ac:dyDescent="0.35">
      <c r="A127" s="58">
        <v>20</v>
      </c>
      <c r="B127" s="34"/>
      <c r="C127" s="34"/>
      <c r="D127" s="34"/>
      <c r="E127" s="34"/>
      <c r="F127" s="34"/>
      <c r="G127" s="34"/>
      <c r="H127" s="96"/>
    </row>
    <row r="128" spans="1:8" ht="18" x14ac:dyDescent="0.35">
      <c r="A128" s="58">
        <v>20</v>
      </c>
      <c r="B128" s="34"/>
      <c r="C128" s="34"/>
      <c r="D128" s="34"/>
      <c r="E128" s="34"/>
      <c r="F128" s="34"/>
      <c r="G128" s="34"/>
      <c r="H128" s="96"/>
    </row>
    <row r="129" spans="1:8" ht="18" x14ac:dyDescent="0.35">
      <c r="A129" s="56">
        <v>20.010000000000002</v>
      </c>
      <c r="B129" s="34"/>
      <c r="C129" s="34"/>
      <c r="D129" s="34"/>
      <c r="E129" s="34"/>
      <c r="F129" s="34"/>
      <c r="G129" s="34"/>
      <c r="H129" s="96"/>
    </row>
    <row r="130" spans="1:8" ht="18" x14ac:dyDescent="0.35">
      <c r="A130" s="58">
        <v>20.010000000000002</v>
      </c>
      <c r="B130" s="34"/>
      <c r="C130" s="34"/>
      <c r="D130" s="34"/>
      <c r="E130" s="34"/>
      <c r="F130" s="34"/>
      <c r="G130" s="34"/>
      <c r="H130" s="96"/>
    </row>
    <row r="131" spans="1:8" ht="18" x14ac:dyDescent="0.35">
      <c r="A131" s="58">
        <v>22.5</v>
      </c>
      <c r="B131" s="34"/>
      <c r="C131" s="34"/>
      <c r="D131" s="34"/>
      <c r="E131" s="34"/>
      <c r="F131" s="34"/>
      <c r="G131" s="34"/>
      <c r="H131" s="96"/>
    </row>
    <row r="132" spans="1:8" ht="18" x14ac:dyDescent="0.35">
      <c r="A132" s="58">
        <v>23</v>
      </c>
      <c r="B132" s="34"/>
      <c r="C132" s="34"/>
      <c r="D132" s="34"/>
      <c r="E132" s="34"/>
      <c r="F132" s="34"/>
      <c r="G132" s="34"/>
      <c r="H132" s="96"/>
    </row>
    <row r="133" spans="1:8" ht="18" x14ac:dyDescent="0.35">
      <c r="A133" s="58">
        <v>23</v>
      </c>
      <c r="B133" s="34"/>
      <c r="C133" s="34"/>
      <c r="D133" s="34"/>
      <c r="E133" s="34"/>
      <c r="F133" s="34"/>
      <c r="G133" s="34"/>
      <c r="H133" s="96"/>
    </row>
    <row r="134" spans="1:8" ht="18" x14ac:dyDescent="0.35">
      <c r="A134" s="58">
        <v>25</v>
      </c>
      <c r="B134" s="34"/>
      <c r="C134" s="34"/>
      <c r="D134" s="34"/>
      <c r="E134" s="34"/>
      <c r="F134" s="34"/>
      <c r="G134" s="34"/>
      <c r="H134" s="96"/>
    </row>
    <row r="135" spans="1:8" ht="18" x14ac:dyDescent="0.35">
      <c r="A135" s="58">
        <v>25</v>
      </c>
      <c r="B135" s="34"/>
      <c r="C135" s="34"/>
      <c r="D135" s="34"/>
      <c r="E135" s="34"/>
      <c r="F135" s="34"/>
      <c r="G135" s="34"/>
      <c r="H135" s="96"/>
    </row>
    <row r="136" spans="1:8" ht="18" x14ac:dyDescent="0.35">
      <c r="A136" s="58">
        <v>25</v>
      </c>
      <c r="B136" s="34"/>
      <c r="C136" s="34"/>
      <c r="D136" s="34"/>
      <c r="E136" s="34"/>
      <c r="F136" s="34"/>
      <c r="G136" s="34"/>
      <c r="H136" s="96"/>
    </row>
    <row r="137" spans="1:8" ht="18" x14ac:dyDescent="0.35">
      <c r="A137" s="58">
        <v>25</v>
      </c>
      <c r="B137" s="34"/>
      <c r="C137" s="34"/>
      <c r="D137" s="34"/>
      <c r="E137" s="34"/>
      <c r="F137" s="34"/>
      <c r="G137" s="34"/>
      <c r="H137" s="96"/>
    </row>
    <row r="138" spans="1:8" ht="18" x14ac:dyDescent="0.35">
      <c r="A138" s="58">
        <v>30</v>
      </c>
      <c r="B138" s="34"/>
      <c r="C138" s="34"/>
      <c r="D138" s="34"/>
      <c r="E138" s="34"/>
      <c r="F138" s="34"/>
      <c r="G138" s="34"/>
      <c r="H138" s="96"/>
    </row>
    <row r="139" spans="1:8" ht="18" x14ac:dyDescent="0.35">
      <c r="A139" s="58">
        <v>40</v>
      </c>
      <c r="B139" s="34"/>
      <c r="C139" s="34"/>
      <c r="D139" s="34"/>
      <c r="E139" s="34"/>
      <c r="F139" s="34"/>
      <c r="G139" s="34"/>
      <c r="H139" s="96"/>
    </row>
    <row r="140" spans="1:8" ht="18" x14ac:dyDescent="0.35">
      <c r="A140" s="58">
        <v>40</v>
      </c>
      <c r="B140" s="34"/>
      <c r="C140" s="34"/>
      <c r="D140" s="34"/>
      <c r="E140" s="34"/>
      <c r="F140" s="34"/>
      <c r="G140" s="34"/>
      <c r="H140" s="96"/>
    </row>
    <row r="141" spans="1:8" ht="18" x14ac:dyDescent="0.35">
      <c r="A141" s="58">
        <v>40</v>
      </c>
      <c r="B141" s="34"/>
      <c r="C141" s="34"/>
      <c r="D141" s="34"/>
      <c r="E141" s="34"/>
      <c r="F141" s="34"/>
      <c r="G141" s="34"/>
      <c r="H141" s="96"/>
    </row>
    <row r="142" spans="1:8" ht="18" x14ac:dyDescent="0.35">
      <c r="A142" s="58">
        <v>40</v>
      </c>
      <c r="B142" s="34"/>
      <c r="C142" s="34"/>
      <c r="D142" s="34"/>
      <c r="E142" s="34"/>
      <c r="F142" s="34"/>
      <c r="G142" s="34"/>
      <c r="H142" s="96"/>
    </row>
    <row r="143" spans="1:8" ht="18" x14ac:dyDescent="0.35">
      <c r="A143" s="58">
        <v>40</v>
      </c>
      <c r="B143" s="34"/>
      <c r="C143" s="34"/>
      <c r="D143" s="34"/>
      <c r="E143" s="34"/>
      <c r="F143" s="34"/>
      <c r="G143" s="34"/>
      <c r="H143" s="96"/>
    </row>
    <row r="144" spans="1:8" ht="18" x14ac:dyDescent="0.35">
      <c r="A144" s="58">
        <v>40</v>
      </c>
      <c r="B144" s="34"/>
      <c r="C144" s="34"/>
      <c r="D144" s="34"/>
      <c r="E144" s="34"/>
      <c r="F144" s="34"/>
      <c r="G144" s="34"/>
      <c r="H144" s="96"/>
    </row>
    <row r="145" spans="1:8" ht="18" x14ac:dyDescent="0.35">
      <c r="A145" s="58">
        <v>50</v>
      </c>
      <c r="B145" s="34"/>
      <c r="C145" s="34"/>
      <c r="D145" s="34"/>
      <c r="E145" s="34"/>
      <c r="F145" s="34"/>
      <c r="G145" s="34"/>
      <c r="H145" s="96"/>
    </row>
    <row r="146" spans="1:8" ht="18" x14ac:dyDescent="0.35">
      <c r="A146" s="58">
        <v>50</v>
      </c>
      <c r="B146" s="34"/>
      <c r="C146" s="34"/>
      <c r="D146" s="34"/>
      <c r="E146" s="34"/>
      <c r="F146" s="34"/>
      <c r="G146" s="34"/>
      <c r="H146" s="96"/>
    </row>
    <row r="147" spans="1:8" ht="18" x14ac:dyDescent="0.35">
      <c r="A147" s="58">
        <v>50</v>
      </c>
      <c r="B147" s="34"/>
      <c r="C147" s="34"/>
      <c r="D147" s="34"/>
      <c r="E147" s="34"/>
      <c r="F147" s="34"/>
      <c r="G147" s="34"/>
      <c r="H147" s="96"/>
    </row>
    <row r="148" spans="1:8" ht="18" x14ac:dyDescent="0.35">
      <c r="A148" s="58">
        <v>50</v>
      </c>
      <c r="B148" s="34"/>
      <c r="C148" s="34"/>
      <c r="D148" s="34"/>
      <c r="E148" s="34"/>
      <c r="F148" s="34"/>
      <c r="G148" s="34"/>
      <c r="H148" s="96"/>
    </row>
    <row r="149" spans="1:8" ht="18" x14ac:dyDescent="0.35">
      <c r="A149" s="58">
        <v>50</v>
      </c>
      <c r="B149" s="34"/>
      <c r="C149" s="34"/>
      <c r="D149" s="34"/>
      <c r="E149" s="34"/>
      <c r="F149" s="34"/>
      <c r="G149" s="34"/>
      <c r="H149" s="96"/>
    </row>
    <row r="150" spans="1:8" ht="18" x14ac:dyDescent="0.35">
      <c r="A150" s="58">
        <v>50</v>
      </c>
      <c r="B150" s="34"/>
      <c r="C150" s="34"/>
      <c r="D150" s="34"/>
      <c r="E150" s="34"/>
      <c r="F150" s="34"/>
      <c r="G150" s="34"/>
      <c r="H150" s="96"/>
    </row>
    <row r="151" spans="1:8" ht="18" x14ac:dyDescent="0.35">
      <c r="A151" s="58">
        <v>51</v>
      </c>
      <c r="B151" s="34"/>
      <c r="C151" s="34"/>
      <c r="D151" s="34"/>
      <c r="E151" s="34"/>
      <c r="F151" s="34"/>
      <c r="G151" s="34"/>
      <c r="H151" s="96"/>
    </row>
    <row r="152" spans="1:8" ht="18" x14ac:dyDescent="0.35">
      <c r="A152" s="58">
        <v>54</v>
      </c>
      <c r="B152" s="34"/>
      <c r="C152" s="34"/>
      <c r="D152" s="34"/>
      <c r="E152" s="34"/>
      <c r="F152" s="34"/>
      <c r="G152" s="34"/>
      <c r="H152" s="96"/>
    </row>
    <row r="153" spans="1:8" ht="18" x14ac:dyDescent="0.35">
      <c r="A153" s="58">
        <v>100</v>
      </c>
      <c r="B153" s="34"/>
      <c r="C153" s="34"/>
      <c r="D153" s="34"/>
      <c r="E153" s="34"/>
      <c r="F153" s="34"/>
      <c r="G153" s="34"/>
      <c r="H153" s="96"/>
    </row>
    <row r="154" spans="1:8" ht="18" x14ac:dyDescent="0.35">
      <c r="A154" s="58">
        <v>100</v>
      </c>
      <c r="B154" s="34"/>
      <c r="C154" s="34"/>
      <c r="D154" s="34"/>
      <c r="E154" s="34"/>
      <c r="F154" s="34"/>
      <c r="G154" s="34"/>
      <c r="H154" s="96"/>
    </row>
    <row r="155" spans="1:8" ht="18" x14ac:dyDescent="0.35">
      <c r="A155" s="58">
        <v>3000</v>
      </c>
      <c r="B155" s="34"/>
      <c r="C155" s="34"/>
      <c r="D155" s="34"/>
      <c r="E155" s="34"/>
      <c r="F155" s="34"/>
      <c r="G155" s="34"/>
      <c r="H155" s="96"/>
    </row>
    <row r="156" spans="1:8" ht="18" x14ac:dyDescent="0.35">
      <c r="C156" s="34"/>
      <c r="D156" s="34"/>
      <c r="E156" s="34"/>
      <c r="F156" s="34"/>
      <c r="G156" s="34"/>
      <c r="H156" s="96"/>
    </row>
    <row r="157" spans="1:8" ht="18" x14ac:dyDescent="0.35">
      <c r="C157" s="34"/>
      <c r="D157" s="34"/>
      <c r="E157" s="34"/>
      <c r="F157" s="34"/>
      <c r="G157" s="34"/>
      <c r="H157" s="96"/>
    </row>
    <row r="158" spans="1:8" ht="18" x14ac:dyDescent="0.35">
      <c r="C158" s="34"/>
      <c r="D158" s="34"/>
      <c r="E158" s="34"/>
      <c r="F158" s="34"/>
      <c r="G158" s="34"/>
      <c r="H158" s="96"/>
    </row>
    <row r="159" spans="1:8" ht="18" x14ac:dyDescent="0.35">
      <c r="C159" s="34"/>
      <c r="D159" s="34"/>
      <c r="E159" s="34"/>
      <c r="F159" s="34"/>
      <c r="G159" s="34"/>
      <c r="H159" s="96"/>
    </row>
    <row r="160" spans="1:8" ht="18" x14ac:dyDescent="0.35">
      <c r="C160" s="34"/>
      <c r="D160" s="34"/>
      <c r="E160" s="34"/>
      <c r="F160" s="34"/>
      <c r="G160" s="34"/>
      <c r="H160" s="96"/>
    </row>
    <row r="161" spans="3:8" ht="18" x14ac:dyDescent="0.35">
      <c r="C161" s="34"/>
      <c r="D161" s="34"/>
      <c r="E161" s="34"/>
      <c r="F161" s="34"/>
      <c r="G161" s="34"/>
      <c r="H161" s="96"/>
    </row>
    <row r="162" spans="3:8" ht="18" x14ac:dyDescent="0.35">
      <c r="C162" s="34"/>
      <c r="D162" s="34"/>
      <c r="E162" s="34"/>
      <c r="F162" s="34"/>
      <c r="G162" s="34"/>
      <c r="H162" s="96"/>
    </row>
    <row r="163" spans="3:8" ht="18" x14ac:dyDescent="0.35">
      <c r="C163" s="34"/>
      <c r="D163" s="34"/>
      <c r="E163" s="34"/>
      <c r="F163" s="34"/>
      <c r="G163" s="34"/>
      <c r="H163" s="96"/>
    </row>
    <row r="164" spans="3:8" ht="18" x14ac:dyDescent="0.35">
      <c r="C164" s="34"/>
      <c r="D164" s="34"/>
      <c r="E164" s="34"/>
      <c r="F164" s="34"/>
      <c r="G164" s="34"/>
    </row>
    <row r="165" spans="3:8" ht="18" x14ac:dyDescent="0.35">
      <c r="C165" s="34"/>
      <c r="D165" s="34"/>
      <c r="E165" s="34"/>
      <c r="F165" s="34"/>
      <c r="G165" s="34"/>
    </row>
    <row r="166" spans="3:8" ht="18" x14ac:dyDescent="0.35">
      <c r="C166" s="34"/>
      <c r="D166" s="34"/>
      <c r="E166" s="34"/>
      <c r="F166" s="34"/>
      <c r="G166" s="34"/>
    </row>
    <row r="167" spans="3:8" ht="18" x14ac:dyDescent="0.35">
      <c r="C167" s="34"/>
      <c r="D167" s="34"/>
      <c r="E167" s="34"/>
    </row>
  </sheetData>
  <sheetProtection formatColumns="0" formatRows="0"/>
  <sortState xmlns:xlrd2="http://schemas.microsoft.com/office/spreadsheetml/2017/richdata2" ref="A3">
    <sortCondition ref="A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C10" sqref="C10"/>
    </sheetView>
  </sheetViews>
  <sheetFormatPr defaultColWidth="11.44140625" defaultRowHeight="14.4" x14ac:dyDescent="0.3"/>
  <cols>
    <col min="1" max="2" width="11.44140625" style="95"/>
    <col min="3" max="3" width="11.109375" style="95" customWidth="1"/>
    <col min="4" max="4" width="11.44140625" style="95" customWidth="1"/>
    <col min="5" max="5" width="15.33203125" style="95" bestFit="1" customWidth="1"/>
    <col min="6" max="6" width="15" style="95" bestFit="1" customWidth="1"/>
    <col min="7" max="7" width="16.44140625" style="95" customWidth="1"/>
    <col min="8" max="8" width="17.33203125" style="95" customWidth="1"/>
    <col min="9" max="16384" width="11.44140625" style="95"/>
  </cols>
  <sheetData>
    <row r="1" spans="1:13" ht="16.2" thickBot="1" x14ac:dyDescent="0.35">
      <c r="A1" s="29"/>
      <c r="B1" s="29"/>
      <c r="C1" s="131" t="s">
        <v>44</v>
      </c>
      <c r="D1" s="125" t="s">
        <v>45</v>
      </c>
      <c r="E1" s="126"/>
      <c r="F1" s="126"/>
      <c r="G1" s="126"/>
      <c r="H1" s="127"/>
      <c r="I1"/>
      <c r="J1"/>
      <c r="K1"/>
      <c r="L1"/>
      <c r="M1"/>
    </row>
    <row r="2" spans="1:13" ht="60.75" customHeight="1" thickBot="1" x14ac:dyDescent="0.35">
      <c r="A2" s="44" t="s">
        <v>43</v>
      </c>
      <c r="B2" s="30"/>
      <c r="C2" s="132"/>
      <c r="D2" s="31" t="s">
        <v>46</v>
      </c>
      <c r="E2" s="32" t="s">
        <v>48</v>
      </c>
      <c r="F2" s="32" t="s">
        <v>49</v>
      </c>
      <c r="G2" s="32" t="s">
        <v>50</v>
      </c>
      <c r="H2" s="33" t="s">
        <v>51</v>
      </c>
      <c r="I2" s="24"/>
      <c r="J2" s="24"/>
      <c r="K2"/>
      <c r="L2"/>
      <c r="M2"/>
    </row>
    <row r="3" spans="1:13" ht="16.2" thickBot="1" x14ac:dyDescent="0.35">
      <c r="A3" s="39">
        <v>1</v>
      </c>
      <c r="B3" s="29"/>
      <c r="C3" s="133"/>
      <c r="D3" s="128" t="s">
        <v>47</v>
      </c>
      <c r="E3" s="129"/>
      <c r="F3" s="129"/>
      <c r="G3" s="129"/>
      <c r="H3" s="130"/>
      <c r="I3"/>
      <c r="J3"/>
      <c r="K3"/>
      <c r="L3"/>
      <c r="M3"/>
    </row>
    <row r="4" spans="1:13" ht="15.6" x14ac:dyDescent="0.3">
      <c r="A4" s="39">
        <v>2</v>
      </c>
      <c r="B4" s="29"/>
      <c r="C4" s="41">
        <v>2</v>
      </c>
      <c r="D4" s="35">
        <f>COUNTIF($A$3:$A$12,C4)</f>
        <v>3</v>
      </c>
      <c r="E4" s="35">
        <f>COUNTIF($A$3:$A$12,"&gt;="&amp;C4)</f>
        <v>9</v>
      </c>
      <c r="F4" s="35">
        <f>COUNTIF($A$3:$A$12,"&gt;"&amp;C4)</f>
        <v>6</v>
      </c>
      <c r="G4" s="35">
        <f>COUNTIF($A$3:$A$12,"&lt;="&amp;C4)</f>
        <v>4</v>
      </c>
      <c r="H4" s="36">
        <f>COUNTIF($A$3:$A$12,"&lt;"&amp;C4)</f>
        <v>1</v>
      </c>
      <c r="I4"/>
      <c r="J4" s="134" t="s">
        <v>58</v>
      </c>
      <c r="K4" s="135"/>
      <c r="L4" s="135"/>
      <c r="M4" s="136"/>
    </row>
    <row r="5" spans="1:13" ht="15.6" x14ac:dyDescent="0.3">
      <c r="A5" s="39">
        <v>2</v>
      </c>
      <c r="B5" s="29"/>
      <c r="C5" s="41">
        <v>4</v>
      </c>
      <c r="D5" s="35">
        <f t="shared" ref="D5:D7" si="0">COUNTIF($A$3:$A$12,C5)</f>
        <v>0</v>
      </c>
      <c r="E5" s="35">
        <f t="shared" ref="E5:E7" si="1">COUNTIF($A$3:$A$12,"&gt;="&amp;C5)</f>
        <v>6</v>
      </c>
      <c r="F5" s="35">
        <f t="shared" ref="F5:F7" si="2">COUNTIF($A$3:$A$12,"&gt;"&amp;C5)</f>
        <v>6</v>
      </c>
      <c r="G5" s="35">
        <f t="shared" ref="G5:G7" si="3">COUNTIF($A$3:$A$12,"&lt;="&amp;C5)</f>
        <v>4</v>
      </c>
      <c r="H5" s="36">
        <f t="shared" ref="H5:H7" si="4">COUNTIF($A$3:$A$12,"&lt;"&amp;C5)</f>
        <v>4</v>
      </c>
      <c r="I5"/>
      <c r="J5" s="137"/>
      <c r="K5" s="138"/>
      <c r="L5" s="138"/>
      <c r="M5" s="139"/>
    </row>
    <row r="6" spans="1:13" ht="16.2" thickBot="1" x14ac:dyDescent="0.35">
      <c r="A6" s="39">
        <v>2</v>
      </c>
      <c r="B6" s="29"/>
      <c r="C6" s="41">
        <v>6</v>
      </c>
      <c r="D6" s="35">
        <f t="shared" si="0"/>
        <v>2</v>
      </c>
      <c r="E6" s="35">
        <f t="shared" si="1"/>
        <v>5</v>
      </c>
      <c r="F6" s="35">
        <f t="shared" si="2"/>
        <v>3</v>
      </c>
      <c r="G6" s="35">
        <f t="shared" si="3"/>
        <v>7</v>
      </c>
      <c r="H6" s="36">
        <f t="shared" si="4"/>
        <v>5</v>
      </c>
      <c r="I6"/>
      <c r="J6" s="140"/>
      <c r="K6" s="141"/>
      <c r="L6" s="141"/>
      <c r="M6" s="142"/>
    </row>
    <row r="7" spans="1:13" ht="16.2" thickBot="1" x14ac:dyDescent="0.35">
      <c r="A7" s="39">
        <v>5</v>
      </c>
      <c r="B7" s="29"/>
      <c r="C7" s="42">
        <v>8</v>
      </c>
      <c r="D7" s="37">
        <f t="shared" si="0"/>
        <v>1</v>
      </c>
      <c r="E7" s="37">
        <f t="shared" si="1"/>
        <v>2</v>
      </c>
      <c r="F7" s="37">
        <f t="shared" si="2"/>
        <v>1</v>
      </c>
      <c r="G7" s="37">
        <f t="shared" si="3"/>
        <v>9</v>
      </c>
      <c r="H7" s="38">
        <f t="shared" si="4"/>
        <v>8</v>
      </c>
      <c r="I7"/>
      <c r="J7"/>
      <c r="K7"/>
      <c r="L7"/>
      <c r="M7"/>
    </row>
    <row r="8" spans="1:13" ht="15.6" x14ac:dyDescent="0.3">
      <c r="A8" s="39">
        <v>6</v>
      </c>
      <c r="B8" s="29"/>
      <c r="C8" s="29"/>
      <c r="D8" s="29"/>
      <c r="E8" s="29"/>
      <c r="F8" s="29"/>
      <c r="G8" s="29"/>
      <c r="H8" s="29"/>
      <c r="I8"/>
      <c r="J8"/>
      <c r="K8"/>
      <c r="L8"/>
      <c r="M8"/>
    </row>
    <row r="9" spans="1:13" ht="15.6" x14ac:dyDescent="0.3">
      <c r="A9" s="39">
        <v>6</v>
      </c>
      <c r="B9" s="29"/>
      <c r="C9" s="29"/>
      <c r="D9" s="29"/>
      <c r="E9" s="29" t="s">
        <v>52</v>
      </c>
      <c r="F9" s="29"/>
      <c r="G9" s="29"/>
      <c r="H9"/>
      <c r="I9"/>
      <c r="J9"/>
      <c r="K9"/>
      <c r="L9"/>
      <c r="M9"/>
    </row>
    <row r="10" spans="1:13" ht="15.6" x14ac:dyDescent="0.3">
      <c r="A10" s="39">
        <v>7</v>
      </c>
      <c r="B10" s="29"/>
      <c r="C10" s="29"/>
      <c r="D10" s="29"/>
      <c r="E10" s="29"/>
      <c r="F10" s="29"/>
      <c r="G10" s="29"/>
      <c r="H10" s="29"/>
      <c r="I10"/>
      <c r="J10"/>
      <c r="K10"/>
      <c r="L10"/>
      <c r="M10"/>
    </row>
    <row r="11" spans="1:13" ht="15.6" x14ac:dyDescent="0.3">
      <c r="A11" s="39">
        <v>8</v>
      </c>
      <c r="B11" s="29"/>
      <c r="C11" s="29"/>
      <c r="D11" s="29"/>
      <c r="E11" s="43" t="s">
        <v>53</v>
      </c>
      <c r="F11" s="29"/>
      <c r="G11" s="29"/>
      <c r="H11" s="29"/>
      <c r="I11"/>
      <c r="J11"/>
      <c r="K11"/>
      <c r="L11"/>
      <c r="M11"/>
    </row>
    <row r="12" spans="1:13" ht="16.2" thickBot="1" x14ac:dyDescent="0.35">
      <c r="A12" s="40">
        <v>10</v>
      </c>
      <c r="B12" s="29"/>
      <c r="C12" s="29"/>
      <c r="D12" s="29"/>
      <c r="E12" s="29"/>
      <c r="F12" s="29" t="s">
        <v>54</v>
      </c>
      <c r="G12" s="29"/>
      <c r="H12" s="29"/>
      <c r="I12"/>
      <c r="J12"/>
      <c r="K12"/>
      <c r="L12"/>
      <c r="M12"/>
    </row>
    <row r="13" spans="1:13" ht="15.6" x14ac:dyDescent="0.3">
      <c r="A13" s="29"/>
      <c r="B13" s="29"/>
      <c r="C13" s="29"/>
      <c r="D13" s="29"/>
      <c r="E13" s="29"/>
      <c r="F13" s="29" t="s">
        <v>57</v>
      </c>
      <c r="G13" s="29"/>
      <c r="H13" s="29"/>
      <c r="I13"/>
      <c r="J13"/>
      <c r="K13"/>
      <c r="L13"/>
      <c r="M13"/>
    </row>
    <row r="14" spans="1:13" ht="15.6" x14ac:dyDescent="0.3">
      <c r="A14" s="29"/>
      <c r="B14" s="29"/>
      <c r="C14" s="29"/>
      <c r="D14" s="29"/>
      <c r="E14" s="29"/>
      <c r="F14" s="29"/>
      <c r="G14" s="29"/>
      <c r="H14" s="29"/>
      <c r="I14"/>
      <c r="J14"/>
      <c r="K14"/>
      <c r="L14"/>
      <c r="M14"/>
    </row>
    <row r="15" spans="1:13" ht="15.6" x14ac:dyDescent="0.3">
      <c r="A15" s="29"/>
      <c r="B15" s="29"/>
      <c r="C15" s="29"/>
      <c r="D15" s="29"/>
      <c r="E15" s="29" t="s">
        <v>55</v>
      </c>
      <c r="F15" s="29"/>
      <c r="G15" s="29"/>
      <c r="H15" s="29"/>
      <c r="I15"/>
      <c r="J15"/>
      <c r="K15"/>
      <c r="L15"/>
      <c r="M15"/>
    </row>
    <row r="16" spans="1:13" ht="15.6" x14ac:dyDescent="0.3">
      <c r="A16" s="97"/>
      <c r="B16" s="97"/>
      <c r="C16" s="97"/>
      <c r="D16" s="97"/>
      <c r="E16" s="97"/>
      <c r="F16" s="97" t="s">
        <v>88</v>
      </c>
      <c r="G16" s="97"/>
      <c r="H16" s="97"/>
    </row>
    <row r="17" spans="1:8" ht="15.6" x14ac:dyDescent="0.3">
      <c r="A17" s="97"/>
      <c r="B17" s="97"/>
      <c r="C17" s="97"/>
      <c r="D17" s="97"/>
      <c r="E17" s="97"/>
      <c r="F17" s="97"/>
      <c r="G17" s="97"/>
      <c r="H17" s="97"/>
    </row>
  </sheetData>
  <sheetProtection sheet="1" objects="1" scenarios="1"/>
  <sortState xmlns:xlrd2="http://schemas.microsoft.com/office/spreadsheetml/2017/richdata2" ref="A2:A11">
    <sortCondition ref="A2"/>
  </sortState>
  <mergeCells count="4">
    <mergeCell ref="D1:H1"/>
    <mergeCell ref="D3:H3"/>
    <mergeCell ref="C1:C3"/>
    <mergeCell ref="J4:M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workbookViewId="0">
      <selection activeCell="J15" sqref="J15"/>
    </sheetView>
  </sheetViews>
  <sheetFormatPr defaultColWidth="11.5546875" defaultRowHeight="14.4" x14ac:dyDescent="0.3"/>
  <cols>
    <col min="1" max="1" width="11.44140625" style="1"/>
    <col min="3" max="3" width="26.109375" customWidth="1"/>
    <col min="4" max="4" width="40.109375" customWidth="1"/>
    <col min="5" max="5" width="19.88671875" customWidth="1"/>
    <col min="6" max="6" width="14" customWidth="1"/>
    <col min="21" max="21" width="12.109375" bestFit="1" customWidth="1"/>
  </cols>
  <sheetData>
    <row r="1" spans="1:14" s="34" customFormat="1" ht="18" x14ac:dyDescent="0.35">
      <c r="A1" s="54" t="s">
        <v>17</v>
      </c>
      <c r="C1" s="66" t="s">
        <v>100</v>
      </c>
      <c r="E1" s="69"/>
      <c r="F1" s="69"/>
      <c r="G1"/>
      <c r="H1"/>
      <c r="I1" s="55"/>
      <c r="J1" s="55"/>
      <c r="K1" s="55"/>
    </row>
    <row r="2" spans="1:14" s="34" customFormat="1" ht="18" x14ac:dyDescent="0.35">
      <c r="A2" s="56">
        <v>0</v>
      </c>
      <c r="C2" s="104" t="s">
        <v>99</v>
      </c>
      <c r="D2" s="105" t="str">
        <f ca="1">OFFSET(Feuil2!C4,0,'données + numéro d''équipe'!G5,1,1)</f>
        <v>Considérez des prix allant de 0$ à 60$, par bonds de 10$.</v>
      </c>
      <c r="E2"/>
      <c r="G2" s="55"/>
      <c r="H2" s="55"/>
      <c r="I2" s="55"/>
      <c r="J2" s="55"/>
      <c r="K2" s="55"/>
    </row>
    <row r="3" spans="1:14" s="34" customFormat="1" ht="18" x14ac:dyDescent="0.35">
      <c r="A3" s="58">
        <v>0.01</v>
      </c>
      <c r="G3" s="67"/>
    </row>
    <row r="4" spans="1:14" s="34" customFormat="1" ht="18" x14ac:dyDescent="0.35">
      <c r="A4" s="58">
        <v>0.05</v>
      </c>
      <c r="C4" s="66" t="s">
        <v>91</v>
      </c>
      <c r="G4" s="66" t="s">
        <v>92</v>
      </c>
      <c r="H4" s="66" t="s">
        <v>98</v>
      </c>
    </row>
    <row r="5" spans="1:14" s="34" customFormat="1" ht="18" x14ac:dyDescent="0.35">
      <c r="A5" s="58">
        <v>0.1</v>
      </c>
      <c r="C5" s="34" t="s">
        <v>90</v>
      </c>
      <c r="E5" s="103">
        <f ca="1">C11</f>
        <v>10</v>
      </c>
      <c r="G5" s="68"/>
    </row>
    <row r="6" spans="1:14" s="34" customFormat="1" ht="18" x14ac:dyDescent="0.35">
      <c r="A6" s="58">
        <v>0.25</v>
      </c>
      <c r="C6" s="29" t="s">
        <v>93</v>
      </c>
      <c r="E6" s="115" t="str">
        <f ca="1">IF(Feuil2!BA27&lt;0.0000001,"Bravo!","Valeur incorrecte")</f>
        <v>Bravo!</v>
      </c>
      <c r="G6" s="68"/>
    </row>
    <row r="7" spans="1:14" s="34" customFormat="1" ht="18.600000000000001" thickBot="1" x14ac:dyDescent="0.4">
      <c r="A7" s="58">
        <v>0.25</v>
      </c>
      <c r="G7" s="68"/>
    </row>
    <row r="8" spans="1:14" s="34" customFormat="1" ht="36" x14ac:dyDescent="0.35">
      <c r="A8" s="58">
        <v>0.5</v>
      </c>
      <c r="C8" s="47" t="s">
        <v>22</v>
      </c>
      <c r="D8" s="122" t="s">
        <v>23</v>
      </c>
      <c r="E8" s="48" t="s">
        <v>63</v>
      </c>
      <c r="G8" s="68"/>
      <c r="H8" s="143" t="s">
        <v>94</v>
      </c>
      <c r="I8" s="143"/>
      <c r="N8" s="106"/>
    </row>
    <row r="9" spans="1:14" s="34" customFormat="1" ht="18" x14ac:dyDescent="0.35">
      <c r="A9" s="58">
        <v>1</v>
      </c>
      <c r="C9" s="49">
        <f t="array" aca="1" ref="C9:C49" ca="1">OFFSET(Feuil2!C8,1,'données + numéro d''équipe'!G5,OFFSET(Feuil2!C6,0,'données + numéro d''équipe'!G5,1,1),1)</f>
        <v>0</v>
      </c>
      <c r="D9" s="121">
        <f ca="1">COUNTIF($A$2:$A$155,"&gt;="&amp;C9)</f>
        <v>154</v>
      </c>
      <c r="E9" s="45">
        <f ca="1">D9*C9</f>
        <v>0</v>
      </c>
      <c r="F9" s="114" t="str">
        <f ca="1">IF(Feuil2!AZ25&lt;0.00001,"Bravo!","Valeurs incorrectes")</f>
        <v>Bravo!</v>
      </c>
      <c r="G9" s="68"/>
      <c r="H9" s="143"/>
      <c r="I9" s="143"/>
    </row>
    <row r="10" spans="1:14" s="34" customFormat="1" ht="18" x14ac:dyDescent="0.35">
      <c r="A10" s="58">
        <v>1</v>
      </c>
      <c r="C10" s="49">
        <f ca="1"/>
        <v>5</v>
      </c>
      <c r="D10" s="121">
        <f t="shared" ref="D10:D21" ca="1" si="0">COUNTIF($A$2:$A$155,"&gt;="&amp;C10)</f>
        <v>125</v>
      </c>
      <c r="E10" s="45">
        <f t="shared" ref="E10:E21" ca="1" si="1">D10*C10</f>
        <v>625</v>
      </c>
      <c r="G10" s="68"/>
      <c r="H10" s="143"/>
      <c r="I10" s="143"/>
    </row>
    <row r="11" spans="1:14" s="34" customFormat="1" ht="18" x14ac:dyDescent="0.35">
      <c r="A11" s="58">
        <v>1</v>
      </c>
      <c r="C11" s="49">
        <f ca="1"/>
        <v>10</v>
      </c>
      <c r="D11" s="121">
        <f t="shared" ca="1" si="0"/>
        <v>80</v>
      </c>
      <c r="E11" s="45">
        <f t="shared" ca="1" si="1"/>
        <v>800</v>
      </c>
      <c r="G11" s="68"/>
    </row>
    <row r="12" spans="1:14" s="34" customFormat="1" ht="18" x14ac:dyDescent="0.35">
      <c r="A12" s="58">
        <v>1</v>
      </c>
      <c r="C12" s="49">
        <f ca="1"/>
        <v>15</v>
      </c>
      <c r="D12" s="121">
        <f t="shared" ca="1" si="0"/>
        <v>48</v>
      </c>
      <c r="E12" s="45">
        <f t="shared" ca="1" si="1"/>
        <v>720</v>
      </c>
      <c r="G12" s="68"/>
    </row>
    <row r="13" spans="1:14" s="34" customFormat="1" ht="16.5" customHeight="1" x14ac:dyDescent="0.35">
      <c r="A13" s="58">
        <v>1</v>
      </c>
      <c r="C13" s="49">
        <f ca="1"/>
        <v>20</v>
      </c>
      <c r="D13" s="121">
        <f t="shared" ca="1" si="0"/>
        <v>39</v>
      </c>
      <c r="E13" s="45">
        <f t="shared" ca="1" si="1"/>
        <v>780</v>
      </c>
      <c r="G13" s="68"/>
    </row>
    <row r="14" spans="1:14" s="34" customFormat="1" ht="18" x14ac:dyDescent="0.35">
      <c r="A14" s="58">
        <v>1</v>
      </c>
      <c r="C14" s="49">
        <f ca="1"/>
        <v>25</v>
      </c>
      <c r="D14" s="121">
        <f t="shared" ca="1" si="0"/>
        <v>22</v>
      </c>
      <c r="E14" s="45">
        <f t="shared" ca="1" si="1"/>
        <v>550</v>
      </c>
      <c r="G14" s="68"/>
    </row>
    <row r="15" spans="1:14" s="34" customFormat="1" ht="18" x14ac:dyDescent="0.35">
      <c r="A15" s="58">
        <v>2</v>
      </c>
      <c r="C15" s="49">
        <f ca="1"/>
        <v>30</v>
      </c>
      <c r="D15" s="121">
        <f t="shared" ca="1" si="0"/>
        <v>18</v>
      </c>
      <c r="E15" s="45">
        <f t="shared" ca="1" si="1"/>
        <v>540</v>
      </c>
      <c r="G15" s="68"/>
    </row>
    <row r="16" spans="1:14" s="34" customFormat="1" ht="18" x14ac:dyDescent="0.35">
      <c r="A16" s="58">
        <v>2</v>
      </c>
      <c r="C16" s="49">
        <f ca="1"/>
        <v>35</v>
      </c>
      <c r="D16" s="121">
        <f t="shared" ca="1" si="0"/>
        <v>17</v>
      </c>
      <c r="E16" s="45">
        <f t="shared" ca="1" si="1"/>
        <v>595</v>
      </c>
      <c r="G16" s="68"/>
    </row>
    <row r="17" spans="1:7" s="34" customFormat="1" ht="18" x14ac:dyDescent="0.35">
      <c r="A17" s="58">
        <v>2</v>
      </c>
      <c r="C17" s="49">
        <f ca="1"/>
        <v>40</v>
      </c>
      <c r="D17" s="121">
        <f t="shared" ca="1" si="0"/>
        <v>17</v>
      </c>
      <c r="E17" s="45">
        <f t="shared" ca="1" si="1"/>
        <v>680</v>
      </c>
      <c r="G17" s="68"/>
    </row>
    <row r="18" spans="1:7" s="34" customFormat="1" ht="18" x14ac:dyDescent="0.35">
      <c r="A18" s="58">
        <v>2</v>
      </c>
      <c r="C18" s="49">
        <f ca="1"/>
        <v>45</v>
      </c>
      <c r="D18" s="121">
        <f t="shared" ca="1" si="0"/>
        <v>11</v>
      </c>
      <c r="E18" s="45">
        <f t="shared" ca="1" si="1"/>
        <v>495</v>
      </c>
      <c r="G18" s="68"/>
    </row>
    <row r="19" spans="1:7" s="34" customFormat="1" ht="18" x14ac:dyDescent="0.35">
      <c r="A19" s="58">
        <v>2</v>
      </c>
      <c r="C19" s="49">
        <f ca="1"/>
        <v>50</v>
      </c>
      <c r="D19" s="121">
        <f t="shared" ca="1" si="0"/>
        <v>11</v>
      </c>
      <c r="E19" s="45">
        <f t="shared" ca="1" si="1"/>
        <v>550</v>
      </c>
      <c r="G19" s="68"/>
    </row>
    <row r="20" spans="1:7" s="34" customFormat="1" ht="18" x14ac:dyDescent="0.35">
      <c r="A20" s="58">
        <v>2</v>
      </c>
      <c r="C20" s="49">
        <f ca="1"/>
        <v>55</v>
      </c>
      <c r="D20" s="121">
        <f t="shared" ca="1" si="0"/>
        <v>3</v>
      </c>
      <c r="E20" s="45">
        <f t="shared" ca="1" si="1"/>
        <v>165</v>
      </c>
      <c r="G20" s="68"/>
    </row>
    <row r="21" spans="1:7" s="34" customFormat="1" ht="18" x14ac:dyDescent="0.35">
      <c r="A21" s="58">
        <v>2</v>
      </c>
      <c r="C21" s="49">
        <f ca="1"/>
        <v>60</v>
      </c>
      <c r="D21" s="121">
        <f t="shared" ca="1" si="0"/>
        <v>3</v>
      </c>
      <c r="E21" s="45">
        <f t="shared" ca="1" si="1"/>
        <v>180</v>
      </c>
      <c r="G21" s="68"/>
    </row>
    <row r="22" spans="1:7" s="34" customFormat="1" ht="18" x14ac:dyDescent="0.35">
      <c r="A22" s="58">
        <v>2</v>
      </c>
      <c r="C22" s="49" t="e">
        <f ca="1"/>
        <v>#N/A</v>
      </c>
      <c r="D22" s="121" t="e">
        <f ca="1">IF(C22="",NA(),COUNTIF($A$2:$A$155,"&gt;="&amp;C22))</f>
        <v>#N/A</v>
      </c>
      <c r="E22" s="45"/>
      <c r="G22" s="68"/>
    </row>
    <row r="23" spans="1:7" s="34" customFormat="1" ht="18" x14ac:dyDescent="0.35">
      <c r="A23" s="58">
        <v>2</v>
      </c>
      <c r="C23" s="49" t="e">
        <f ca="1"/>
        <v>#N/A</v>
      </c>
      <c r="D23" s="121" t="e">
        <f t="shared" ref="D23:D49" ca="1" si="2">IF(C23="",NA(),COUNTIF($A$2:$A$155,"&gt;="&amp;C23))</f>
        <v>#N/A</v>
      </c>
      <c r="E23" s="45"/>
      <c r="G23" s="68"/>
    </row>
    <row r="24" spans="1:7" s="34" customFormat="1" ht="18" x14ac:dyDescent="0.35">
      <c r="A24" s="58">
        <v>2.78</v>
      </c>
      <c r="C24" s="49" t="e">
        <f ca="1"/>
        <v>#N/A</v>
      </c>
      <c r="D24" s="121" t="e">
        <f t="shared" ca="1" si="2"/>
        <v>#N/A</v>
      </c>
      <c r="E24" s="45"/>
      <c r="G24" s="68"/>
    </row>
    <row r="25" spans="1:7" s="34" customFormat="1" ht="18" x14ac:dyDescent="0.35">
      <c r="A25" s="58">
        <v>3</v>
      </c>
      <c r="C25" s="49" t="e">
        <f ca="1"/>
        <v>#N/A</v>
      </c>
      <c r="D25" s="121" t="e">
        <f t="shared" ca="1" si="2"/>
        <v>#N/A</v>
      </c>
      <c r="E25" s="45"/>
      <c r="G25" s="68"/>
    </row>
    <row r="26" spans="1:7" s="34" customFormat="1" ht="18" x14ac:dyDescent="0.35">
      <c r="A26" s="58">
        <v>3</v>
      </c>
      <c r="B26" s="68"/>
      <c r="C26" s="49" t="e">
        <f ca="1"/>
        <v>#N/A</v>
      </c>
      <c r="D26" s="121" t="e">
        <f t="shared" ca="1" si="2"/>
        <v>#N/A</v>
      </c>
      <c r="E26" s="45"/>
      <c r="G26" s="68"/>
    </row>
    <row r="27" spans="1:7" s="34" customFormat="1" ht="18" x14ac:dyDescent="0.35">
      <c r="A27" s="58">
        <v>3.25</v>
      </c>
      <c r="C27" s="49" t="e">
        <f ca="1"/>
        <v>#N/A</v>
      </c>
      <c r="D27" s="121" t="e">
        <f t="shared" ca="1" si="2"/>
        <v>#N/A</v>
      </c>
      <c r="E27" s="45"/>
      <c r="G27" s="68"/>
    </row>
    <row r="28" spans="1:7" s="34" customFormat="1" ht="18" x14ac:dyDescent="0.35">
      <c r="A28" s="58">
        <v>4</v>
      </c>
      <c r="C28" s="49" t="e">
        <f ca="1"/>
        <v>#N/A</v>
      </c>
      <c r="D28" s="121" t="e">
        <f t="shared" ca="1" si="2"/>
        <v>#N/A</v>
      </c>
      <c r="E28" s="45"/>
      <c r="G28" s="68"/>
    </row>
    <row r="29" spans="1:7" s="34" customFormat="1" ht="18" x14ac:dyDescent="0.35">
      <c r="A29" s="58">
        <v>4</v>
      </c>
      <c r="C29" s="49" t="e">
        <f ca="1"/>
        <v>#N/A</v>
      </c>
      <c r="D29" s="121" t="e">
        <f t="shared" ca="1" si="2"/>
        <v>#N/A</v>
      </c>
      <c r="E29" s="45"/>
      <c r="G29" s="68"/>
    </row>
    <row r="30" spans="1:7" s="34" customFormat="1" ht="18" x14ac:dyDescent="0.35">
      <c r="A30" s="58">
        <v>4</v>
      </c>
      <c r="C30" s="49" t="e">
        <f ca="1"/>
        <v>#N/A</v>
      </c>
      <c r="D30" s="121" t="e">
        <f t="shared" ca="1" si="2"/>
        <v>#N/A</v>
      </c>
      <c r="E30" s="45"/>
      <c r="G30" s="68"/>
    </row>
    <row r="31" spans="1:7" s="34" customFormat="1" ht="18" x14ac:dyDescent="0.35">
      <c r="A31" s="56">
        <v>5</v>
      </c>
      <c r="C31" s="49" t="e">
        <f ca="1"/>
        <v>#N/A</v>
      </c>
      <c r="D31" s="121" t="e">
        <f t="shared" ca="1" si="2"/>
        <v>#N/A</v>
      </c>
      <c r="E31" s="45"/>
      <c r="G31" s="68"/>
    </row>
    <row r="32" spans="1:7" s="34" customFormat="1" ht="18" x14ac:dyDescent="0.35">
      <c r="A32" s="58">
        <v>5</v>
      </c>
      <c r="C32" s="49" t="e">
        <f ca="1"/>
        <v>#N/A</v>
      </c>
      <c r="D32" s="121" t="e">
        <f t="shared" ca="1" si="2"/>
        <v>#N/A</v>
      </c>
      <c r="E32" s="45"/>
      <c r="G32" s="68"/>
    </row>
    <row r="33" spans="1:7" s="34" customFormat="1" ht="18" x14ac:dyDescent="0.35">
      <c r="A33" s="58">
        <v>5</v>
      </c>
      <c r="C33" s="49" t="e">
        <f ca="1"/>
        <v>#N/A</v>
      </c>
      <c r="D33" s="121" t="e">
        <f t="shared" ca="1" si="2"/>
        <v>#N/A</v>
      </c>
      <c r="E33" s="45"/>
      <c r="G33" s="68"/>
    </row>
    <row r="34" spans="1:7" s="34" customFormat="1" ht="18" x14ac:dyDescent="0.35">
      <c r="A34" s="58">
        <v>5</v>
      </c>
      <c r="C34" s="49" t="e">
        <f ca="1"/>
        <v>#N/A</v>
      </c>
      <c r="D34" s="121" t="e">
        <f t="shared" ca="1" si="2"/>
        <v>#N/A</v>
      </c>
      <c r="E34" s="45"/>
      <c r="G34" s="68"/>
    </row>
    <row r="35" spans="1:7" s="34" customFormat="1" ht="18" x14ac:dyDescent="0.35">
      <c r="A35" s="58">
        <v>5</v>
      </c>
      <c r="C35" s="49" t="e">
        <f ca="1"/>
        <v>#N/A</v>
      </c>
      <c r="D35" s="121" t="e">
        <f t="shared" ca="1" si="2"/>
        <v>#N/A</v>
      </c>
      <c r="E35" s="45"/>
      <c r="G35" s="68"/>
    </row>
    <row r="36" spans="1:7" s="34" customFormat="1" ht="18" x14ac:dyDescent="0.35">
      <c r="A36" s="58">
        <v>5</v>
      </c>
      <c r="C36" s="49" t="e">
        <f ca="1"/>
        <v>#N/A</v>
      </c>
      <c r="D36" s="121" t="e">
        <f t="shared" ca="1" si="2"/>
        <v>#N/A</v>
      </c>
      <c r="E36" s="45"/>
      <c r="G36" s="68"/>
    </row>
    <row r="37" spans="1:7" s="34" customFormat="1" ht="18" x14ac:dyDescent="0.35">
      <c r="A37" s="58">
        <v>5</v>
      </c>
      <c r="C37" s="49" t="e">
        <f ca="1"/>
        <v>#N/A</v>
      </c>
      <c r="D37" s="121" t="e">
        <f t="shared" ca="1" si="2"/>
        <v>#N/A</v>
      </c>
      <c r="E37" s="45"/>
      <c r="G37" s="68"/>
    </row>
    <row r="38" spans="1:7" s="34" customFormat="1" ht="18" x14ac:dyDescent="0.35">
      <c r="A38" s="58">
        <v>5</v>
      </c>
      <c r="C38" s="49" t="e">
        <f ca="1"/>
        <v>#N/A</v>
      </c>
      <c r="D38" s="121" t="e">
        <f t="shared" ca="1" si="2"/>
        <v>#N/A</v>
      </c>
      <c r="E38" s="45"/>
      <c r="G38" s="68"/>
    </row>
    <row r="39" spans="1:7" s="34" customFormat="1" ht="18" x14ac:dyDescent="0.35">
      <c r="A39" s="58">
        <v>5</v>
      </c>
      <c r="C39" s="49" t="e">
        <f ca="1"/>
        <v>#N/A</v>
      </c>
      <c r="D39" s="121" t="e">
        <f t="shared" ca="1" si="2"/>
        <v>#N/A</v>
      </c>
      <c r="E39" s="45"/>
      <c r="G39" s="68"/>
    </row>
    <row r="40" spans="1:7" s="34" customFormat="1" ht="18" x14ac:dyDescent="0.35">
      <c r="A40" s="58">
        <v>5</v>
      </c>
      <c r="C40" s="49" t="e">
        <f ca="1"/>
        <v>#N/A</v>
      </c>
      <c r="D40" s="121" t="e">
        <f t="shared" ca="1" si="2"/>
        <v>#N/A</v>
      </c>
      <c r="E40" s="45"/>
      <c r="G40" s="68"/>
    </row>
    <row r="41" spans="1:7" s="34" customFormat="1" ht="18" x14ac:dyDescent="0.35">
      <c r="A41" s="58">
        <v>5</v>
      </c>
      <c r="C41" s="49" t="e">
        <f ca="1"/>
        <v>#N/A</v>
      </c>
      <c r="D41" s="121" t="e">
        <f t="shared" ca="1" si="2"/>
        <v>#N/A</v>
      </c>
      <c r="E41" s="45"/>
      <c r="G41" s="68"/>
    </row>
    <row r="42" spans="1:7" s="34" customFormat="1" ht="18" x14ac:dyDescent="0.35">
      <c r="A42" s="58">
        <v>5</v>
      </c>
      <c r="C42" s="49" t="e">
        <f ca="1"/>
        <v>#N/A</v>
      </c>
      <c r="D42" s="121" t="e">
        <f t="shared" ca="1" si="2"/>
        <v>#N/A</v>
      </c>
      <c r="E42" s="45"/>
      <c r="G42" s="68"/>
    </row>
    <row r="43" spans="1:7" s="34" customFormat="1" ht="18" x14ac:dyDescent="0.35">
      <c r="A43" s="58">
        <v>5</v>
      </c>
      <c r="C43" s="49" t="e">
        <f ca="1"/>
        <v>#N/A</v>
      </c>
      <c r="D43" s="121" t="e">
        <f t="shared" ca="1" si="2"/>
        <v>#N/A</v>
      </c>
      <c r="E43" s="45"/>
      <c r="G43" s="68"/>
    </row>
    <row r="44" spans="1:7" s="34" customFormat="1" ht="18" x14ac:dyDescent="0.35">
      <c r="A44" s="58">
        <v>5</v>
      </c>
      <c r="C44" s="49" t="e">
        <f ca="1"/>
        <v>#N/A</v>
      </c>
      <c r="D44" s="121" t="e">
        <f t="shared" ca="1" si="2"/>
        <v>#N/A</v>
      </c>
      <c r="E44" s="45"/>
      <c r="G44" s="68"/>
    </row>
    <row r="45" spans="1:7" s="34" customFormat="1" ht="18" x14ac:dyDescent="0.35">
      <c r="A45" s="58">
        <v>5</v>
      </c>
      <c r="C45" s="49" t="e">
        <f ca="1"/>
        <v>#N/A</v>
      </c>
      <c r="D45" s="121" t="e">
        <f t="shared" ca="1" si="2"/>
        <v>#N/A</v>
      </c>
      <c r="E45" s="45"/>
    </row>
    <row r="46" spans="1:7" s="34" customFormat="1" ht="18" x14ac:dyDescent="0.35">
      <c r="A46" s="58">
        <v>5</v>
      </c>
      <c r="B46"/>
      <c r="C46" s="49" t="e">
        <f ca="1"/>
        <v>#N/A</v>
      </c>
      <c r="D46" s="121" t="e">
        <f t="shared" ca="1" si="2"/>
        <v>#N/A</v>
      </c>
      <c r="E46" s="45"/>
    </row>
    <row r="47" spans="1:7" s="34" customFormat="1" ht="18" x14ac:dyDescent="0.35">
      <c r="A47" s="58">
        <v>5</v>
      </c>
      <c r="B47"/>
      <c r="C47" s="49" t="e">
        <f ca="1"/>
        <v>#N/A</v>
      </c>
      <c r="D47" s="121" t="e">
        <f t="shared" ca="1" si="2"/>
        <v>#N/A</v>
      </c>
      <c r="E47" s="45"/>
    </row>
    <row r="48" spans="1:7" s="34" customFormat="1" ht="18" x14ac:dyDescent="0.35">
      <c r="A48" s="58">
        <v>5</v>
      </c>
      <c r="B48"/>
      <c r="C48" s="49" t="e">
        <f ca="1"/>
        <v>#N/A</v>
      </c>
      <c r="D48" s="121" t="e">
        <f t="shared" ca="1" si="2"/>
        <v>#N/A</v>
      </c>
      <c r="E48" s="45"/>
    </row>
    <row r="49" spans="1:5" s="34" customFormat="1" ht="18.600000000000001" thickBot="1" x14ac:dyDescent="0.4">
      <c r="A49" s="58">
        <v>5</v>
      </c>
      <c r="B49"/>
      <c r="C49" s="61" t="e">
        <f ca="1"/>
        <v>#N/A</v>
      </c>
      <c r="D49" s="123" t="e">
        <f t="shared" ca="1" si="2"/>
        <v>#N/A</v>
      </c>
      <c r="E49" s="46"/>
    </row>
    <row r="50" spans="1:5" s="34" customFormat="1" ht="18" x14ac:dyDescent="0.35">
      <c r="A50" s="58">
        <v>5</v>
      </c>
      <c r="B50"/>
      <c r="C50"/>
      <c r="D50"/>
      <c r="E50"/>
    </row>
    <row r="51" spans="1:5" s="34" customFormat="1" ht="18" x14ac:dyDescent="0.35">
      <c r="A51" s="58">
        <v>5</v>
      </c>
      <c r="B51"/>
      <c r="C51"/>
      <c r="D51"/>
      <c r="E51"/>
    </row>
    <row r="52" spans="1:5" s="34" customFormat="1" ht="18" x14ac:dyDescent="0.35">
      <c r="A52" s="58">
        <v>5</v>
      </c>
      <c r="B52"/>
      <c r="C52"/>
      <c r="D52"/>
      <c r="E52"/>
    </row>
    <row r="53" spans="1:5" s="34" customFormat="1" ht="18" x14ac:dyDescent="0.35">
      <c r="A53" s="58">
        <v>5</v>
      </c>
      <c r="B53"/>
      <c r="C53"/>
      <c r="D53"/>
      <c r="E53"/>
    </row>
    <row r="54" spans="1:5" s="34" customFormat="1" ht="18" x14ac:dyDescent="0.35">
      <c r="A54" s="58">
        <v>5</v>
      </c>
      <c r="B54"/>
      <c r="C54"/>
      <c r="D54"/>
      <c r="E54"/>
    </row>
    <row r="55" spans="1:5" s="34" customFormat="1" ht="18" x14ac:dyDescent="0.35">
      <c r="A55" s="58">
        <v>5</v>
      </c>
      <c r="B55"/>
      <c r="C55"/>
      <c r="D55"/>
      <c r="E55"/>
    </row>
    <row r="56" spans="1:5" s="34" customFormat="1" ht="18" x14ac:dyDescent="0.35">
      <c r="A56" s="58">
        <v>5</v>
      </c>
      <c r="B56"/>
      <c r="C56"/>
      <c r="D56"/>
      <c r="E56"/>
    </row>
    <row r="57" spans="1:5" s="34" customFormat="1" ht="18" x14ac:dyDescent="0.35">
      <c r="A57" s="58">
        <v>5</v>
      </c>
      <c r="B57"/>
      <c r="C57"/>
      <c r="D57"/>
      <c r="E57"/>
    </row>
    <row r="58" spans="1:5" s="34" customFormat="1" ht="18" x14ac:dyDescent="0.35">
      <c r="A58" s="58">
        <v>5</v>
      </c>
      <c r="B58"/>
      <c r="C58"/>
      <c r="D58"/>
      <c r="E58"/>
    </row>
    <row r="59" spans="1:5" s="34" customFormat="1" ht="18" x14ac:dyDescent="0.35">
      <c r="A59" s="58">
        <v>5</v>
      </c>
      <c r="B59"/>
      <c r="C59"/>
      <c r="D59"/>
      <c r="E59"/>
    </row>
    <row r="60" spans="1:5" s="34" customFormat="1" ht="18" x14ac:dyDescent="0.35">
      <c r="A60" s="58">
        <v>5</v>
      </c>
      <c r="B60"/>
      <c r="C60"/>
      <c r="D60"/>
      <c r="E60"/>
    </row>
    <row r="61" spans="1:5" s="34" customFormat="1" ht="18" x14ac:dyDescent="0.35">
      <c r="A61" s="58">
        <v>5</v>
      </c>
      <c r="B61"/>
      <c r="C61"/>
      <c r="D61"/>
      <c r="E61"/>
    </row>
    <row r="62" spans="1:5" s="34" customFormat="1" ht="18" x14ac:dyDescent="0.35">
      <c r="A62" s="58">
        <v>5</v>
      </c>
      <c r="B62"/>
      <c r="C62"/>
      <c r="D62"/>
      <c r="E62"/>
    </row>
    <row r="63" spans="1:5" s="34" customFormat="1" ht="18" x14ac:dyDescent="0.35">
      <c r="A63" s="58">
        <v>5</v>
      </c>
      <c r="B63"/>
      <c r="C63"/>
      <c r="D63"/>
      <c r="E63"/>
    </row>
    <row r="64" spans="1:5" s="34" customFormat="1" ht="18" x14ac:dyDescent="0.35">
      <c r="A64" s="58">
        <v>5</v>
      </c>
      <c r="B64"/>
      <c r="C64"/>
      <c r="D64"/>
      <c r="E64"/>
    </row>
    <row r="65" spans="1:5" s="34" customFormat="1" ht="18" x14ac:dyDescent="0.35">
      <c r="A65" s="58">
        <v>5</v>
      </c>
      <c r="B65"/>
      <c r="C65"/>
      <c r="D65"/>
      <c r="E65"/>
    </row>
    <row r="66" spans="1:5" s="34" customFormat="1" ht="18" x14ac:dyDescent="0.35">
      <c r="A66" s="58">
        <v>5.01</v>
      </c>
      <c r="B66"/>
      <c r="C66"/>
      <c r="D66"/>
      <c r="E66"/>
    </row>
    <row r="67" spans="1:5" s="34" customFormat="1" ht="18" x14ac:dyDescent="0.35">
      <c r="A67" s="58">
        <v>6</v>
      </c>
      <c r="B67"/>
      <c r="C67"/>
      <c r="D67"/>
      <c r="E67"/>
    </row>
    <row r="68" spans="1:5" s="34" customFormat="1" ht="18" x14ac:dyDescent="0.35">
      <c r="A68" s="58">
        <v>6</v>
      </c>
      <c r="B68"/>
      <c r="C68"/>
      <c r="D68"/>
      <c r="E68"/>
    </row>
    <row r="69" spans="1:5" s="34" customFormat="1" ht="18" x14ac:dyDescent="0.35">
      <c r="A69" s="58">
        <v>7</v>
      </c>
      <c r="B69"/>
      <c r="C69"/>
      <c r="D69"/>
      <c r="E69"/>
    </row>
    <row r="70" spans="1:5" s="34" customFormat="1" ht="18" x14ac:dyDescent="0.35">
      <c r="A70" s="58">
        <v>7</v>
      </c>
      <c r="B70"/>
      <c r="C70"/>
      <c r="D70"/>
      <c r="E70"/>
    </row>
    <row r="71" spans="1:5" s="34" customFormat="1" ht="18" x14ac:dyDescent="0.35">
      <c r="A71" s="58">
        <v>7</v>
      </c>
      <c r="B71"/>
      <c r="C71"/>
      <c r="D71"/>
      <c r="E71"/>
    </row>
    <row r="72" spans="1:5" s="34" customFormat="1" ht="18" x14ac:dyDescent="0.35">
      <c r="A72" s="58">
        <v>7.75</v>
      </c>
      <c r="B72"/>
      <c r="C72"/>
      <c r="D72"/>
      <c r="E72"/>
    </row>
    <row r="73" spans="1:5" s="34" customFormat="1" ht="18" x14ac:dyDescent="0.35">
      <c r="A73" s="58">
        <v>8</v>
      </c>
      <c r="B73"/>
      <c r="C73"/>
      <c r="D73"/>
      <c r="E73"/>
    </row>
    <row r="74" spans="1:5" s="34" customFormat="1" ht="18" x14ac:dyDescent="0.35">
      <c r="A74" s="58">
        <v>8</v>
      </c>
      <c r="B74"/>
      <c r="C74"/>
      <c r="D74"/>
      <c r="E74"/>
    </row>
    <row r="75" spans="1:5" s="34" customFormat="1" ht="18" x14ac:dyDescent="0.35">
      <c r="A75" s="58">
        <v>9</v>
      </c>
      <c r="B75"/>
      <c r="C75"/>
      <c r="D75"/>
      <c r="E75"/>
    </row>
    <row r="76" spans="1:5" s="34" customFormat="1" ht="18" x14ac:dyDescent="0.35">
      <c r="A76" s="58">
        <v>10</v>
      </c>
      <c r="B76"/>
      <c r="C76"/>
      <c r="D76"/>
      <c r="E76"/>
    </row>
    <row r="77" spans="1:5" s="34" customFormat="1" ht="18" x14ac:dyDescent="0.35">
      <c r="A77" s="58">
        <v>10</v>
      </c>
      <c r="B77"/>
      <c r="C77"/>
      <c r="D77"/>
      <c r="E77"/>
    </row>
    <row r="78" spans="1:5" s="34" customFormat="1" ht="18" x14ac:dyDescent="0.35">
      <c r="A78" s="58">
        <v>10</v>
      </c>
      <c r="B78"/>
      <c r="C78"/>
      <c r="D78"/>
      <c r="E78"/>
    </row>
    <row r="79" spans="1:5" s="34" customFormat="1" ht="18" x14ac:dyDescent="0.35">
      <c r="A79" s="58">
        <v>10</v>
      </c>
      <c r="B79"/>
      <c r="C79"/>
      <c r="D79"/>
      <c r="E79"/>
    </row>
    <row r="80" spans="1:5" s="34" customFormat="1" ht="18" x14ac:dyDescent="0.35">
      <c r="A80" s="58">
        <v>10</v>
      </c>
      <c r="B80"/>
      <c r="C80"/>
      <c r="D80"/>
      <c r="E80"/>
    </row>
    <row r="81" spans="1:5" s="34" customFormat="1" ht="18" x14ac:dyDescent="0.35">
      <c r="A81" s="58">
        <v>10</v>
      </c>
      <c r="B81"/>
      <c r="C81"/>
      <c r="D81"/>
      <c r="E81"/>
    </row>
    <row r="82" spans="1:5" s="34" customFormat="1" ht="18" x14ac:dyDescent="0.35">
      <c r="A82" s="58">
        <v>10</v>
      </c>
      <c r="B82"/>
      <c r="C82"/>
      <c r="D82"/>
      <c r="E82"/>
    </row>
    <row r="83" spans="1:5" s="34" customFormat="1" ht="18" x14ac:dyDescent="0.35">
      <c r="A83" s="58">
        <v>10</v>
      </c>
      <c r="B83"/>
      <c r="C83"/>
      <c r="D83"/>
      <c r="E83"/>
    </row>
    <row r="84" spans="1:5" s="34" customFormat="1" ht="18" x14ac:dyDescent="0.35">
      <c r="A84" s="58">
        <v>10</v>
      </c>
      <c r="B84"/>
      <c r="C84"/>
      <c r="D84"/>
      <c r="E84"/>
    </row>
    <row r="85" spans="1:5" s="34" customFormat="1" ht="18" x14ac:dyDescent="0.35">
      <c r="A85" s="58">
        <v>10</v>
      </c>
      <c r="B85"/>
      <c r="C85"/>
      <c r="D85"/>
      <c r="E85"/>
    </row>
    <row r="86" spans="1:5" s="34" customFormat="1" ht="18" x14ac:dyDescent="0.35">
      <c r="A86" s="58">
        <v>10</v>
      </c>
      <c r="B86"/>
      <c r="C86"/>
      <c r="D86"/>
      <c r="E86"/>
    </row>
    <row r="87" spans="1:5" s="34" customFormat="1" ht="18" x14ac:dyDescent="0.35">
      <c r="A87" s="58">
        <v>10</v>
      </c>
      <c r="B87"/>
      <c r="C87"/>
      <c r="D87"/>
      <c r="E87"/>
    </row>
    <row r="88" spans="1:5" s="34" customFormat="1" ht="18" x14ac:dyDescent="0.35">
      <c r="A88" s="58">
        <v>10</v>
      </c>
      <c r="B88"/>
      <c r="C88"/>
      <c r="D88"/>
      <c r="E88"/>
    </row>
    <row r="89" spans="1:5" s="34" customFormat="1" ht="18" x14ac:dyDescent="0.35">
      <c r="A89" s="58">
        <v>10</v>
      </c>
      <c r="B89"/>
      <c r="C89"/>
      <c r="D89"/>
      <c r="E89"/>
    </row>
    <row r="90" spans="1:5" s="34" customFormat="1" ht="18" x14ac:dyDescent="0.35">
      <c r="A90" s="58">
        <v>10</v>
      </c>
      <c r="B90"/>
      <c r="C90"/>
      <c r="D90"/>
      <c r="E90"/>
    </row>
    <row r="91" spans="1:5" s="34" customFormat="1" ht="18" x14ac:dyDescent="0.35">
      <c r="A91" s="58">
        <v>10</v>
      </c>
      <c r="B91"/>
      <c r="C91"/>
      <c r="D91"/>
      <c r="E91"/>
    </row>
    <row r="92" spans="1:5" s="34" customFormat="1" ht="18" x14ac:dyDescent="0.35">
      <c r="A92" s="58">
        <v>10</v>
      </c>
      <c r="B92"/>
      <c r="C92"/>
      <c r="D92"/>
      <c r="E92"/>
    </row>
    <row r="93" spans="1:5" s="34" customFormat="1" ht="18" x14ac:dyDescent="0.35">
      <c r="A93" s="58">
        <v>10</v>
      </c>
      <c r="B93"/>
      <c r="C93"/>
      <c r="D93"/>
      <c r="E93"/>
    </row>
    <row r="94" spans="1:5" s="34" customFormat="1" ht="18" x14ac:dyDescent="0.35">
      <c r="A94" s="58">
        <v>10</v>
      </c>
      <c r="B94"/>
      <c r="C94"/>
      <c r="D94"/>
      <c r="E94"/>
    </row>
    <row r="95" spans="1:5" s="34" customFormat="1" ht="18" x14ac:dyDescent="0.35">
      <c r="A95" s="58">
        <v>10</v>
      </c>
      <c r="B95"/>
      <c r="C95"/>
      <c r="D95"/>
      <c r="E95"/>
    </row>
    <row r="96" spans="1:5" s="34" customFormat="1" ht="18" x14ac:dyDescent="0.35">
      <c r="A96" s="58">
        <v>10</v>
      </c>
      <c r="B96"/>
      <c r="C96"/>
      <c r="D96"/>
      <c r="E96"/>
    </row>
    <row r="97" spans="1:5" s="34" customFormat="1" ht="18" x14ac:dyDescent="0.35">
      <c r="A97" s="58">
        <v>10</v>
      </c>
      <c r="B97"/>
      <c r="C97"/>
      <c r="D97"/>
      <c r="E97"/>
    </row>
    <row r="98" spans="1:5" s="34" customFormat="1" ht="18" x14ac:dyDescent="0.35">
      <c r="A98" s="58">
        <v>10</v>
      </c>
      <c r="B98"/>
      <c r="C98"/>
      <c r="D98"/>
      <c r="E98"/>
    </row>
    <row r="99" spans="1:5" s="34" customFormat="1" ht="18" x14ac:dyDescent="0.35">
      <c r="A99" s="58">
        <v>10</v>
      </c>
      <c r="B99"/>
      <c r="C99"/>
      <c r="D99"/>
      <c r="E99"/>
    </row>
    <row r="100" spans="1:5" s="34" customFormat="1" ht="18" x14ac:dyDescent="0.35">
      <c r="A100" s="58">
        <v>10</v>
      </c>
      <c r="B100"/>
      <c r="C100"/>
      <c r="D100"/>
      <c r="E100"/>
    </row>
    <row r="101" spans="1:5" s="34" customFormat="1" ht="18" x14ac:dyDescent="0.35">
      <c r="A101" s="58">
        <v>10</v>
      </c>
      <c r="B101"/>
      <c r="C101"/>
      <c r="D101"/>
      <c r="E101"/>
    </row>
    <row r="102" spans="1:5" s="34" customFormat="1" ht="18" x14ac:dyDescent="0.35">
      <c r="A102" s="58">
        <v>10</v>
      </c>
      <c r="B102"/>
      <c r="C102"/>
      <c r="D102"/>
      <c r="E102"/>
    </row>
    <row r="103" spans="1:5" s="34" customFormat="1" ht="18" x14ac:dyDescent="0.35">
      <c r="A103" s="58">
        <v>10</v>
      </c>
      <c r="B103"/>
      <c r="C103"/>
      <c r="D103"/>
      <c r="E103"/>
    </row>
    <row r="104" spans="1:5" s="34" customFormat="1" ht="18" x14ac:dyDescent="0.35">
      <c r="A104" s="58">
        <v>10</v>
      </c>
      <c r="B104"/>
      <c r="C104"/>
      <c r="D104"/>
      <c r="E104"/>
    </row>
    <row r="105" spans="1:5" s="34" customFormat="1" ht="18" x14ac:dyDescent="0.35">
      <c r="A105" s="58">
        <v>11</v>
      </c>
      <c r="B105"/>
      <c r="C105"/>
      <c r="D105"/>
      <c r="E105"/>
    </row>
    <row r="106" spans="1:5" s="34" customFormat="1" ht="18" x14ac:dyDescent="0.35">
      <c r="A106" s="58">
        <v>12.5</v>
      </c>
      <c r="B106"/>
      <c r="C106"/>
      <c r="D106"/>
      <c r="E106"/>
    </row>
    <row r="107" spans="1:5" s="34" customFormat="1" ht="18" x14ac:dyDescent="0.35">
      <c r="A107" s="58">
        <v>13.5</v>
      </c>
      <c r="B107"/>
      <c r="C107"/>
      <c r="D107"/>
      <c r="E107"/>
    </row>
    <row r="108" spans="1:5" s="34" customFormat="1" ht="18" x14ac:dyDescent="0.35">
      <c r="A108" s="58">
        <v>15</v>
      </c>
      <c r="B108"/>
      <c r="C108"/>
      <c r="D108"/>
      <c r="E108"/>
    </row>
    <row r="109" spans="1:5" s="34" customFormat="1" ht="18" x14ac:dyDescent="0.35">
      <c r="A109" s="58">
        <v>15</v>
      </c>
      <c r="B109"/>
      <c r="C109"/>
      <c r="D109"/>
      <c r="E109"/>
    </row>
    <row r="110" spans="1:5" s="34" customFormat="1" ht="18" x14ac:dyDescent="0.35">
      <c r="A110" s="58">
        <v>15</v>
      </c>
      <c r="B110"/>
      <c r="C110"/>
      <c r="D110"/>
      <c r="E110"/>
    </row>
    <row r="111" spans="1:5" s="34" customFormat="1" ht="18" x14ac:dyDescent="0.35">
      <c r="A111" s="58">
        <v>15</v>
      </c>
      <c r="B111"/>
      <c r="C111"/>
      <c r="D111"/>
      <c r="E111"/>
    </row>
    <row r="112" spans="1:5" s="34" customFormat="1" ht="18" x14ac:dyDescent="0.35">
      <c r="A112" s="58">
        <v>15</v>
      </c>
      <c r="B112"/>
      <c r="C112"/>
      <c r="D112"/>
      <c r="E112"/>
    </row>
    <row r="113" spans="1:5" s="34" customFormat="1" ht="18" x14ac:dyDescent="0.35">
      <c r="A113" s="58">
        <v>15</v>
      </c>
      <c r="B113"/>
      <c r="C113"/>
      <c r="D113"/>
      <c r="E113"/>
    </row>
    <row r="114" spans="1:5" s="34" customFormat="1" ht="18" x14ac:dyDescent="0.35">
      <c r="A114" s="58">
        <v>15</v>
      </c>
      <c r="B114"/>
      <c r="C114"/>
      <c r="D114"/>
      <c r="E114"/>
    </row>
    <row r="115" spans="1:5" s="34" customFormat="1" ht="18" x14ac:dyDescent="0.35">
      <c r="A115" s="58">
        <v>16.989999999999998</v>
      </c>
      <c r="B115"/>
      <c r="C115"/>
      <c r="D115"/>
      <c r="E115"/>
    </row>
    <row r="116" spans="1:5" s="34" customFormat="1" ht="18" x14ac:dyDescent="0.35">
      <c r="A116" s="58">
        <v>17</v>
      </c>
      <c r="B116"/>
      <c r="C116"/>
      <c r="D116"/>
      <c r="E116"/>
    </row>
    <row r="117" spans="1:5" s="34" customFormat="1" ht="18" x14ac:dyDescent="0.35">
      <c r="A117" s="58">
        <v>20</v>
      </c>
      <c r="B117"/>
      <c r="C117"/>
      <c r="D117"/>
      <c r="E117"/>
    </row>
    <row r="118" spans="1:5" s="34" customFormat="1" ht="18" x14ac:dyDescent="0.35">
      <c r="A118" s="58">
        <v>20</v>
      </c>
      <c r="B118"/>
      <c r="C118"/>
      <c r="D118"/>
      <c r="E118"/>
    </row>
    <row r="119" spans="1:5" s="34" customFormat="1" ht="18" x14ac:dyDescent="0.35">
      <c r="A119" s="56">
        <v>20</v>
      </c>
      <c r="B119"/>
      <c r="C119"/>
      <c r="D119"/>
      <c r="E119"/>
    </row>
    <row r="120" spans="1:5" s="34" customFormat="1" ht="18" x14ac:dyDescent="0.35">
      <c r="A120" s="58">
        <v>20</v>
      </c>
      <c r="B120"/>
      <c r="C120"/>
      <c r="D120"/>
      <c r="E120"/>
    </row>
    <row r="121" spans="1:5" s="34" customFormat="1" ht="18" x14ac:dyDescent="0.35">
      <c r="A121" s="58">
        <v>20</v>
      </c>
      <c r="B121"/>
      <c r="C121"/>
      <c r="D121"/>
      <c r="E121"/>
    </row>
    <row r="122" spans="1:5" s="34" customFormat="1" ht="18" x14ac:dyDescent="0.35">
      <c r="A122" s="58">
        <v>20</v>
      </c>
      <c r="B122"/>
      <c r="C122"/>
      <c r="D122"/>
      <c r="E122"/>
    </row>
    <row r="123" spans="1:5" s="34" customFormat="1" ht="18" x14ac:dyDescent="0.35">
      <c r="A123" s="58">
        <v>20</v>
      </c>
      <c r="B123"/>
      <c r="C123"/>
      <c r="D123"/>
      <c r="E123"/>
    </row>
    <row r="124" spans="1:5" s="34" customFormat="1" ht="18" x14ac:dyDescent="0.35">
      <c r="A124" s="58">
        <v>20</v>
      </c>
      <c r="B124"/>
      <c r="C124"/>
      <c r="D124"/>
      <c r="E124"/>
    </row>
    <row r="125" spans="1:5" s="34" customFormat="1" ht="18" x14ac:dyDescent="0.35">
      <c r="A125" s="58">
        <v>20</v>
      </c>
      <c r="B125"/>
      <c r="C125"/>
      <c r="D125"/>
      <c r="E125"/>
    </row>
    <row r="126" spans="1:5" s="34" customFormat="1" ht="18" x14ac:dyDescent="0.35">
      <c r="A126" s="58">
        <v>20</v>
      </c>
      <c r="B126"/>
      <c r="C126"/>
      <c r="D126"/>
      <c r="E126"/>
    </row>
    <row r="127" spans="1:5" s="34" customFormat="1" ht="18" x14ac:dyDescent="0.35">
      <c r="A127" s="58">
        <v>20</v>
      </c>
      <c r="B127"/>
      <c r="C127"/>
      <c r="D127"/>
      <c r="E127"/>
    </row>
    <row r="128" spans="1:5" s="34" customFormat="1" ht="18" x14ac:dyDescent="0.35">
      <c r="A128" s="58">
        <v>20</v>
      </c>
      <c r="B128"/>
      <c r="C128"/>
      <c r="D128"/>
      <c r="E128"/>
    </row>
    <row r="129" spans="1:5" s="34" customFormat="1" ht="18" x14ac:dyDescent="0.35">
      <c r="A129" s="56">
        <v>20.010000000000002</v>
      </c>
      <c r="B129"/>
      <c r="C129"/>
      <c r="D129"/>
      <c r="E129"/>
    </row>
    <row r="130" spans="1:5" s="34" customFormat="1" ht="18" x14ac:dyDescent="0.35">
      <c r="A130" s="58">
        <v>20.010000000000002</v>
      </c>
      <c r="B130"/>
      <c r="C130"/>
      <c r="D130"/>
      <c r="E130"/>
    </row>
    <row r="131" spans="1:5" s="34" customFormat="1" ht="18" x14ac:dyDescent="0.35">
      <c r="A131" s="58">
        <v>22.5</v>
      </c>
      <c r="B131"/>
      <c r="C131"/>
      <c r="D131"/>
      <c r="E131"/>
    </row>
    <row r="132" spans="1:5" s="34" customFormat="1" ht="18" x14ac:dyDescent="0.35">
      <c r="A132" s="58">
        <v>23</v>
      </c>
      <c r="B132"/>
      <c r="C132"/>
      <c r="D132"/>
      <c r="E132"/>
    </row>
    <row r="133" spans="1:5" s="34" customFormat="1" ht="18" x14ac:dyDescent="0.35">
      <c r="A133" s="58">
        <v>23</v>
      </c>
      <c r="B133"/>
      <c r="C133"/>
      <c r="D133"/>
      <c r="E133"/>
    </row>
    <row r="134" spans="1:5" s="34" customFormat="1" ht="18" x14ac:dyDescent="0.35">
      <c r="A134" s="58">
        <v>25</v>
      </c>
      <c r="B134"/>
      <c r="C134"/>
      <c r="D134"/>
      <c r="E134"/>
    </row>
    <row r="135" spans="1:5" s="34" customFormat="1" ht="18" x14ac:dyDescent="0.35">
      <c r="A135" s="58">
        <v>25</v>
      </c>
      <c r="B135"/>
      <c r="C135"/>
      <c r="D135"/>
      <c r="E135"/>
    </row>
    <row r="136" spans="1:5" s="34" customFormat="1" ht="18" x14ac:dyDescent="0.35">
      <c r="A136" s="58">
        <v>25</v>
      </c>
      <c r="B136"/>
      <c r="C136"/>
      <c r="D136"/>
      <c r="E136"/>
    </row>
    <row r="137" spans="1:5" s="34" customFormat="1" ht="18" x14ac:dyDescent="0.35">
      <c r="A137" s="58">
        <v>25</v>
      </c>
      <c r="B137"/>
      <c r="C137"/>
      <c r="D137"/>
      <c r="E137"/>
    </row>
    <row r="138" spans="1:5" s="34" customFormat="1" ht="18" x14ac:dyDescent="0.35">
      <c r="A138" s="58">
        <v>30</v>
      </c>
      <c r="B138"/>
      <c r="C138"/>
      <c r="D138"/>
      <c r="E138"/>
    </row>
    <row r="139" spans="1:5" s="34" customFormat="1" ht="18" x14ac:dyDescent="0.35">
      <c r="A139" s="58">
        <v>40</v>
      </c>
      <c r="B139"/>
      <c r="C139"/>
      <c r="D139"/>
      <c r="E139"/>
    </row>
    <row r="140" spans="1:5" s="34" customFormat="1" ht="18" x14ac:dyDescent="0.35">
      <c r="A140" s="58">
        <v>40</v>
      </c>
      <c r="B140"/>
      <c r="C140"/>
      <c r="D140"/>
      <c r="E140"/>
    </row>
    <row r="141" spans="1:5" s="34" customFormat="1" ht="18" x14ac:dyDescent="0.35">
      <c r="A141" s="58">
        <v>40</v>
      </c>
      <c r="B141"/>
      <c r="C141"/>
      <c r="D141"/>
      <c r="E141"/>
    </row>
    <row r="142" spans="1:5" s="34" customFormat="1" ht="18" x14ac:dyDescent="0.35">
      <c r="A142" s="58">
        <v>40</v>
      </c>
      <c r="B142"/>
      <c r="C142"/>
      <c r="D142"/>
      <c r="E142"/>
    </row>
    <row r="143" spans="1:5" s="34" customFormat="1" ht="18" x14ac:dyDescent="0.35">
      <c r="A143" s="58">
        <v>40</v>
      </c>
      <c r="B143"/>
      <c r="C143"/>
      <c r="D143"/>
      <c r="E143"/>
    </row>
    <row r="144" spans="1:5" s="34" customFormat="1" ht="18" x14ac:dyDescent="0.35">
      <c r="A144" s="58">
        <v>40</v>
      </c>
      <c r="B144"/>
      <c r="C144"/>
      <c r="D144"/>
      <c r="E144"/>
    </row>
    <row r="145" spans="1:8" s="34" customFormat="1" ht="18" x14ac:dyDescent="0.35">
      <c r="A145" s="58">
        <v>50</v>
      </c>
      <c r="B145"/>
      <c r="C145"/>
      <c r="D145"/>
      <c r="E145"/>
    </row>
    <row r="146" spans="1:8" s="34" customFormat="1" ht="18" x14ac:dyDescent="0.35">
      <c r="A146" s="58">
        <v>50</v>
      </c>
      <c r="B146"/>
      <c r="C146"/>
      <c r="D146"/>
      <c r="E146"/>
    </row>
    <row r="147" spans="1:8" s="34" customFormat="1" ht="18" x14ac:dyDescent="0.35">
      <c r="A147" s="58">
        <v>50</v>
      </c>
      <c r="B147"/>
      <c r="C147"/>
      <c r="D147"/>
      <c r="E147"/>
    </row>
    <row r="148" spans="1:8" s="34" customFormat="1" ht="18" x14ac:dyDescent="0.35">
      <c r="A148" s="58">
        <v>50</v>
      </c>
      <c r="B148"/>
      <c r="C148"/>
      <c r="D148"/>
      <c r="E148"/>
    </row>
    <row r="149" spans="1:8" s="34" customFormat="1" ht="18" x14ac:dyDescent="0.35">
      <c r="A149" s="58">
        <v>50</v>
      </c>
      <c r="B149"/>
      <c r="C149"/>
      <c r="D149"/>
      <c r="E149"/>
    </row>
    <row r="150" spans="1:8" s="34" customFormat="1" ht="18" x14ac:dyDescent="0.35">
      <c r="A150" s="58">
        <v>50</v>
      </c>
      <c r="B150"/>
      <c r="C150"/>
      <c r="D150"/>
      <c r="E150"/>
    </row>
    <row r="151" spans="1:8" s="34" customFormat="1" ht="18" x14ac:dyDescent="0.35">
      <c r="A151" s="58">
        <v>51</v>
      </c>
      <c r="B151"/>
      <c r="C151"/>
      <c r="D151"/>
      <c r="E151"/>
    </row>
    <row r="152" spans="1:8" s="34" customFormat="1" ht="18" x14ac:dyDescent="0.35">
      <c r="A152" s="58">
        <v>54</v>
      </c>
      <c r="B152"/>
      <c r="C152"/>
      <c r="D152"/>
      <c r="E152"/>
    </row>
    <row r="153" spans="1:8" s="34" customFormat="1" ht="18" x14ac:dyDescent="0.35">
      <c r="A153" s="58">
        <v>100</v>
      </c>
      <c r="B153"/>
      <c r="C153"/>
      <c r="D153"/>
      <c r="E153"/>
    </row>
    <row r="154" spans="1:8" s="34" customFormat="1" ht="18" x14ac:dyDescent="0.35">
      <c r="A154" s="58">
        <v>100</v>
      </c>
      <c r="B154"/>
      <c r="C154"/>
      <c r="D154"/>
      <c r="E154"/>
    </row>
    <row r="155" spans="1:8" s="34" customFormat="1" ht="18" x14ac:dyDescent="0.35">
      <c r="A155" s="58">
        <v>3000</v>
      </c>
      <c r="B155"/>
      <c r="C155"/>
      <c r="D155"/>
      <c r="E155"/>
    </row>
    <row r="156" spans="1:8" ht="18" x14ac:dyDescent="0.35">
      <c r="F156" s="34"/>
      <c r="G156" s="34"/>
      <c r="H156" s="34"/>
    </row>
    <row r="157" spans="1:8" ht="18" x14ac:dyDescent="0.35">
      <c r="F157" s="34"/>
    </row>
    <row r="158" spans="1:8" ht="18" x14ac:dyDescent="0.35">
      <c r="F158" s="34"/>
    </row>
    <row r="159" spans="1:8" ht="18" x14ac:dyDescent="0.35">
      <c r="F159" s="34"/>
    </row>
  </sheetData>
  <mergeCells count="1">
    <mergeCell ref="H8:I10"/>
  </mergeCells>
  <conditionalFormatting sqref="E9:E49">
    <cfRule type="containsErrors" dxfId="38" priority="7">
      <formula>ISERROR(E9)</formula>
    </cfRule>
  </conditionalFormatting>
  <conditionalFormatting sqref="C9:D49">
    <cfRule type="containsErrors" dxfId="37" priority="9">
      <formula>ISERROR(C9)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EB21A25C-354F-493A-AF96-9094E9189EFB}">
            <xm:f>Feuil2!$P$4</xm:f>
            <x14:dxf>
              <font>
                <b/>
                <i val="0"/>
                <color rgb="FFC00000"/>
              </font>
            </x14:dxf>
          </x14:cfRule>
          <xm:sqref>E9:E49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workbookViewId="0">
      <selection activeCell="B4" sqref="B4"/>
    </sheetView>
  </sheetViews>
  <sheetFormatPr defaultColWidth="11.44140625" defaultRowHeight="14.4" x14ac:dyDescent="0.3"/>
  <cols>
    <col min="1" max="1" width="19.44140625" customWidth="1"/>
    <col min="2" max="2" width="22.109375" customWidth="1"/>
    <col min="3" max="3" width="19.5546875" customWidth="1"/>
    <col min="4" max="4" width="15.5546875" style="95" customWidth="1"/>
    <col min="5" max="16384" width="11.44140625" style="95"/>
  </cols>
  <sheetData>
    <row r="1" spans="1:10" ht="18" x14ac:dyDescent="0.35">
      <c r="A1" s="34" t="s">
        <v>79</v>
      </c>
      <c r="B1" s="34" t="str">
        <f ca="1">Feuil2!AA1</f>
        <v>Q(p) = 144.583 EXP( -0.062 p )</v>
      </c>
    </row>
    <row r="2" spans="1:10" ht="18.600000000000001" thickBot="1" x14ac:dyDescent="0.4">
      <c r="E2" s="107"/>
    </row>
    <row r="3" spans="1:10" ht="18" x14ac:dyDescent="0.35">
      <c r="A3" s="74" t="s">
        <v>64</v>
      </c>
      <c r="B3" s="75" t="s">
        <v>35</v>
      </c>
      <c r="C3" s="76" t="s">
        <v>37</v>
      </c>
      <c r="E3" s="96" t="s">
        <v>101</v>
      </c>
      <c r="F3" s="96"/>
      <c r="G3" s="96"/>
      <c r="H3" s="96"/>
      <c r="I3" s="108">
        <v>1</v>
      </c>
      <c r="J3" s="116" t="str">
        <f>IF(C5="","",IF(Feuil2!BF32=0,"Bravo!","Valeur incorrecte"))</f>
        <v/>
      </c>
    </row>
    <row r="4" spans="1:10" ht="18" x14ac:dyDescent="0.35">
      <c r="A4" s="72">
        <v>1</v>
      </c>
      <c r="B4" s="99">
        <f>144.583*EXP(-0.062*A4)</f>
        <v>135.89108742091599</v>
      </c>
      <c r="C4" s="98"/>
      <c r="D4" s="116" t="str">
        <f ca="1">IF(Feuil2!BD29&lt;=0.05,"Bravo!","Valeurs incorrectes")</f>
        <v>Valeurs incorrectes</v>
      </c>
    </row>
    <row r="5" spans="1:10" ht="18" x14ac:dyDescent="0.35">
      <c r="A5" s="72">
        <v>1.5</v>
      </c>
      <c r="B5" s="99">
        <f t="shared" ref="B5:B68" si="0">144.583*EXP(-0.062*A5)</f>
        <v>131.74308985331689</v>
      </c>
      <c r="C5" s="98"/>
    </row>
    <row r="6" spans="1:10" ht="18" x14ac:dyDescent="0.35">
      <c r="A6" s="72">
        <v>2</v>
      </c>
      <c r="B6" s="99">
        <f t="shared" si="0"/>
        <v>127.72170753435077</v>
      </c>
      <c r="C6" s="98"/>
    </row>
    <row r="7" spans="1:10" ht="18" x14ac:dyDescent="0.35">
      <c r="A7" s="72">
        <v>2.5</v>
      </c>
      <c r="B7" s="99">
        <f t="shared" si="0"/>
        <v>123.82307560611329</v>
      </c>
      <c r="C7" s="98"/>
    </row>
    <row r="8" spans="1:10" ht="18" x14ac:dyDescent="0.35">
      <c r="A8" s="72">
        <v>3</v>
      </c>
      <c r="B8" s="99">
        <f t="shared" si="0"/>
        <v>120.04344718327276</v>
      </c>
      <c r="C8" s="98"/>
    </row>
    <row r="9" spans="1:10" ht="18" x14ac:dyDescent="0.35">
      <c r="A9" s="72">
        <v>3.5</v>
      </c>
      <c r="B9" s="99">
        <f t="shared" si="0"/>
        <v>116.37918975202503</v>
      </c>
      <c r="C9" s="98"/>
    </row>
    <row r="10" spans="1:10" ht="18" x14ac:dyDescent="0.35">
      <c r="A10" s="72">
        <v>4</v>
      </c>
      <c r="B10" s="99">
        <f t="shared" si="0"/>
        <v>112.82678167896803</v>
      </c>
      <c r="C10" s="98"/>
    </row>
    <row r="11" spans="1:10" ht="18" x14ac:dyDescent="0.35">
      <c r="A11" s="72">
        <v>4.5</v>
      </c>
      <c r="B11" s="99">
        <f t="shared" si="0"/>
        <v>109.38280882654119</v>
      </c>
      <c r="C11" s="98"/>
    </row>
    <row r="12" spans="1:10" ht="18" x14ac:dyDescent="0.35">
      <c r="A12" s="72">
        <v>5</v>
      </c>
      <c r="B12" s="99">
        <f t="shared" si="0"/>
        <v>106.04396127177641</v>
      </c>
      <c r="C12" s="98"/>
    </row>
    <row r="13" spans="1:10" ht="18" x14ac:dyDescent="0.35">
      <c r="A13" s="72">
        <v>5.5</v>
      </c>
      <c r="B13" s="99">
        <f t="shared" si="0"/>
        <v>102.80703012520735</v>
      </c>
      <c r="C13" s="98"/>
    </row>
    <row r="14" spans="1:10" ht="18" x14ac:dyDescent="0.35">
      <c r="A14" s="72">
        <v>6</v>
      </c>
      <c r="B14" s="99">
        <f t="shared" si="0"/>
        <v>99.668904446879651</v>
      </c>
      <c r="C14" s="98"/>
    </row>
    <row r="15" spans="1:10" ht="18" x14ac:dyDescent="0.35">
      <c r="A15" s="72">
        <v>6.5</v>
      </c>
      <c r="B15" s="99">
        <f t="shared" si="0"/>
        <v>96.626568256498317</v>
      </c>
      <c r="C15" s="98"/>
    </row>
    <row r="16" spans="1:10" ht="18" x14ac:dyDescent="0.35">
      <c r="A16" s="72">
        <v>7</v>
      </c>
      <c r="B16" s="99">
        <f t="shared" si="0"/>
        <v>93.677097634838447</v>
      </c>
      <c r="C16" s="98"/>
    </row>
    <row r="17" spans="1:3" ht="18" x14ac:dyDescent="0.35">
      <c r="A17" s="72">
        <v>7.5</v>
      </c>
      <c r="B17" s="99">
        <f t="shared" si="0"/>
        <v>90.817657913633852</v>
      </c>
      <c r="C17" s="98"/>
    </row>
    <row r="18" spans="1:3" ht="18" x14ac:dyDescent="0.35">
      <c r="A18" s="72">
        <v>8</v>
      </c>
      <c r="B18" s="99">
        <f t="shared" si="0"/>
        <v>88.045500951242644</v>
      </c>
      <c r="C18" s="98"/>
    </row>
    <row r="19" spans="1:3" ht="18" x14ac:dyDescent="0.35">
      <c r="A19" s="72">
        <v>8.5</v>
      </c>
      <c r="B19" s="99">
        <f t="shared" si="0"/>
        <v>85.357962491471753</v>
      </c>
      <c r="C19" s="98"/>
    </row>
    <row r="20" spans="1:3" ht="18" x14ac:dyDescent="0.35">
      <c r="A20" s="72">
        <v>9</v>
      </c>
      <c r="B20" s="99">
        <f t="shared" si="0"/>
        <v>82.752459603021492</v>
      </c>
      <c r="C20" s="98"/>
    </row>
    <row r="21" spans="1:3" ht="18" x14ac:dyDescent="0.35">
      <c r="A21" s="72">
        <v>9.5</v>
      </c>
      <c r="B21" s="99">
        <f t="shared" si="0"/>
        <v>80.226488197089964</v>
      </c>
      <c r="C21" s="98"/>
    </row>
    <row r="22" spans="1:3" ht="18" x14ac:dyDescent="0.35">
      <c r="A22" s="72">
        <v>10</v>
      </c>
      <c r="B22" s="99">
        <f t="shared" si="0"/>
        <v>77.777620620750824</v>
      </c>
      <c r="C22" s="98"/>
    </row>
    <row r="23" spans="1:3" ht="18" x14ac:dyDescent="0.35">
      <c r="A23" s="72">
        <v>10.5</v>
      </c>
      <c r="B23" s="99">
        <f t="shared" si="0"/>
        <v>75.403503323792137</v>
      </c>
      <c r="C23" s="98"/>
    </row>
    <row r="24" spans="1:3" ht="18" x14ac:dyDescent="0.35">
      <c r="A24" s="72">
        <v>11</v>
      </c>
      <c r="B24" s="99">
        <f t="shared" si="0"/>
        <v>73.101854596773407</v>
      </c>
      <c r="C24" s="98"/>
    </row>
    <row r="25" spans="1:3" ht="18" x14ac:dyDescent="0.35">
      <c r="A25" s="72">
        <v>11.5</v>
      </c>
      <c r="B25" s="99">
        <f t="shared" si="0"/>
        <v>70.870462378127215</v>
      </c>
      <c r="C25" s="98"/>
    </row>
    <row r="26" spans="1:3" ht="18" x14ac:dyDescent="0.35">
      <c r="A26" s="72">
        <v>12</v>
      </c>
      <c r="B26" s="99">
        <f t="shared" si="0"/>
        <v>68.707182128197829</v>
      </c>
      <c r="C26" s="98"/>
    </row>
    <row r="27" spans="1:3" ht="18" x14ac:dyDescent="0.35">
      <c r="A27" s="72">
        <v>12.5</v>
      </c>
      <c r="B27" s="99">
        <f t="shared" si="0"/>
        <v>66.609934768173474</v>
      </c>
      <c r="C27" s="98"/>
    </row>
    <row r="28" spans="1:3" ht="18" x14ac:dyDescent="0.35">
      <c r="A28" s="72">
        <v>13</v>
      </c>
      <c r="B28" s="99">
        <f t="shared" si="0"/>
        <v>64.576704681931687</v>
      </c>
      <c r="C28" s="98"/>
    </row>
    <row r="29" spans="1:3" ht="18" x14ac:dyDescent="0.35">
      <c r="A29" s="72">
        <v>13.5</v>
      </c>
      <c r="B29" s="99">
        <f t="shared" si="0"/>
        <v>62.605537778877014</v>
      </c>
      <c r="C29" s="98"/>
    </row>
    <row r="30" spans="1:3" ht="18" x14ac:dyDescent="0.35">
      <c r="A30" s="72">
        <v>14</v>
      </c>
      <c r="B30" s="99">
        <f t="shared" si="0"/>
        <v>60.694539615909584</v>
      </c>
      <c r="C30" s="98"/>
    </row>
    <row r="31" spans="1:3" ht="18" x14ac:dyDescent="0.35">
      <c r="A31" s="72">
        <v>14.5</v>
      </c>
      <c r="B31" s="99">
        <f t="shared" si="0"/>
        <v>58.8418735767195</v>
      </c>
      <c r="C31" s="98"/>
    </row>
    <row r="32" spans="1:3" ht="18" x14ac:dyDescent="0.35">
      <c r="A32" s="72">
        <v>15</v>
      </c>
      <c r="B32" s="99">
        <f t="shared" si="0"/>
        <v>57.045759106657208</v>
      </c>
      <c r="C32" s="98"/>
    </row>
    <row r="33" spans="1:3" ht="18" x14ac:dyDescent="0.35">
      <c r="A33" s="72">
        <v>15.5</v>
      </c>
      <c r="B33" s="99">
        <f t="shared" si="0"/>
        <v>55.304470001483423</v>
      </c>
      <c r="C33" s="98"/>
    </row>
    <row r="34" spans="1:3" ht="18" x14ac:dyDescent="0.35">
      <c r="A34" s="72">
        <v>16</v>
      </c>
      <c r="B34" s="99">
        <f t="shared" si="0"/>
        <v>53.616332748354019</v>
      </c>
      <c r="C34" s="98"/>
    </row>
    <row r="35" spans="1:3" ht="18" x14ac:dyDescent="0.35">
      <c r="A35" s="72">
        <v>16.5</v>
      </c>
      <c r="B35" s="99">
        <f t="shared" si="0"/>
        <v>51.979724917445417</v>
      </c>
      <c r="C35" s="98"/>
    </row>
    <row r="36" spans="1:3" ht="18" x14ac:dyDescent="0.35">
      <c r="A36" s="72">
        <v>17</v>
      </c>
      <c r="B36" s="99">
        <f t="shared" si="0"/>
        <v>50.393073602674583</v>
      </c>
      <c r="C36" s="98"/>
    </row>
    <row r="37" spans="1:3" ht="18" x14ac:dyDescent="0.35">
      <c r="A37" s="72">
        <v>17.5</v>
      </c>
      <c r="B37" s="99">
        <f t="shared" si="0"/>
        <v>48.854853910015294</v>
      </c>
      <c r="C37" s="98"/>
    </row>
    <row r="38" spans="1:3" ht="18" x14ac:dyDescent="0.35">
      <c r="A38" s="72">
        <v>18</v>
      </c>
      <c r="B38" s="99">
        <f t="shared" si="0"/>
        <v>47.363587491957603</v>
      </c>
      <c r="C38" s="98"/>
    </row>
    <row r="39" spans="1:3" ht="18" x14ac:dyDescent="0.35">
      <c r="A39" s="72">
        <v>18.5</v>
      </c>
      <c r="B39" s="99">
        <f t="shared" si="0"/>
        <v>45.917841126702093</v>
      </c>
      <c r="C39" s="98"/>
    </row>
    <row r="40" spans="1:3" ht="18" x14ac:dyDescent="0.35">
      <c r="A40" s="72">
        <v>19</v>
      </c>
      <c r="B40" s="99">
        <f t="shared" si="0"/>
        <v>44.516225340723423</v>
      </c>
      <c r="C40" s="98"/>
    </row>
    <row r="41" spans="1:3" ht="18" x14ac:dyDescent="0.35">
      <c r="A41" s="72">
        <v>19.5</v>
      </c>
      <c r="B41" s="99">
        <f t="shared" si="0"/>
        <v>43.157393073379346</v>
      </c>
      <c r="C41" s="98"/>
    </row>
    <row r="42" spans="1:3" ht="18" x14ac:dyDescent="0.35">
      <c r="A42" s="72">
        <v>20</v>
      </c>
      <c r="B42" s="99">
        <f t="shared" si="0"/>
        <v>41.840038382281755</v>
      </c>
      <c r="C42" s="98"/>
    </row>
    <row r="43" spans="1:3" ht="18" x14ac:dyDescent="0.35">
      <c r="A43" s="72">
        <v>20.5</v>
      </c>
      <c r="B43" s="99">
        <f t="shared" si="0"/>
        <v>40.562895188185536</v>
      </c>
      <c r="C43" s="98"/>
    </row>
    <row r="44" spans="1:3" ht="18" x14ac:dyDescent="0.35">
      <c r="A44" s="72">
        <v>21</v>
      </c>
      <c r="B44" s="99">
        <f t="shared" si="0"/>
        <v>39.32473605818894</v>
      </c>
      <c r="C44" s="98"/>
    </row>
    <row r="45" spans="1:3" ht="18" x14ac:dyDescent="0.35">
      <c r="A45" s="72">
        <v>21.5</v>
      </c>
      <c r="B45" s="99">
        <f t="shared" si="0"/>
        <v>38.12437102607619</v>
      </c>
      <c r="C45" s="98"/>
    </row>
    <row r="46" spans="1:3" ht="18" x14ac:dyDescent="0.35">
      <c r="A46" s="72">
        <v>22</v>
      </c>
      <c r="B46" s="99">
        <f t="shared" si="0"/>
        <v>36.96064644866825</v>
      </c>
      <c r="C46" s="98"/>
    </row>
    <row r="47" spans="1:3" ht="18" x14ac:dyDescent="0.35">
      <c r="A47" s="72">
        <v>22.5</v>
      </c>
      <c r="B47" s="99">
        <f t="shared" si="0"/>
        <v>35.832443897083031</v>
      </c>
      <c r="C47" s="98"/>
    </row>
    <row r="48" spans="1:3" ht="18" x14ac:dyDescent="0.35">
      <c r="A48" s="72">
        <v>23</v>
      </c>
      <c r="B48" s="99">
        <f t="shared" si="0"/>
        <v>34.73867908183913</v>
      </c>
      <c r="C48" s="98"/>
    </row>
    <row r="49" spans="1:3" ht="18" x14ac:dyDescent="0.35">
      <c r="A49" s="72">
        <v>23.5</v>
      </c>
      <c r="B49" s="99">
        <f t="shared" si="0"/>
        <v>33.678300810770139</v>
      </c>
      <c r="C49" s="98"/>
    </row>
    <row r="50" spans="1:3" ht="18" x14ac:dyDescent="0.35">
      <c r="A50" s="72">
        <v>24</v>
      </c>
      <c r="B50" s="99">
        <f t="shared" si="0"/>
        <v>32.65028997874817</v>
      </c>
      <c r="C50" s="98"/>
    </row>
    <row r="51" spans="1:3" ht="18" x14ac:dyDescent="0.35">
      <c r="A51" s="72">
        <v>24.5</v>
      </c>
      <c r="B51" s="99">
        <f t="shared" si="0"/>
        <v>31.65365858824531</v>
      </c>
      <c r="C51" s="98"/>
    </row>
    <row r="52" spans="1:3" ht="18" x14ac:dyDescent="0.35">
      <c r="A52" s="72">
        <v>25</v>
      </c>
      <c r="B52" s="99">
        <f t="shared" si="0"/>
        <v>30.687448799791987</v>
      </c>
      <c r="C52" s="98"/>
    </row>
    <row r="53" spans="1:3" ht="18" x14ac:dyDescent="0.35">
      <c r="A53" s="72">
        <v>25.5</v>
      </c>
      <c r="B53" s="99">
        <f t="shared" si="0"/>
        <v>29.750732011419544</v>
      </c>
      <c r="C53" s="98"/>
    </row>
    <row r="54" spans="1:3" ht="18" x14ac:dyDescent="0.35">
      <c r="A54" s="72">
        <v>26</v>
      </c>
      <c r="B54" s="99">
        <f t="shared" si="0"/>
        <v>28.84260796620223</v>
      </c>
      <c r="C54" s="98"/>
    </row>
    <row r="55" spans="1:3" ht="18" x14ac:dyDescent="0.35">
      <c r="A55" s="72">
        <v>26.5</v>
      </c>
      <c r="B55" s="99">
        <f t="shared" si="0"/>
        <v>27.96220388704106</v>
      </c>
      <c r="C55" s="98"/>
    </row>
    <row r="56" spans="1:3" ht="18" x14ac:dyDescent="0.35">
      <c r="A56" s="72">
        <v>27</v>
      </c>
      <c r="B56" s="99">
        <f t="shared" si="0"/>
        <v>27.108673637857816</v>
      </c>
      <c r="C56" s="98"/>
    </row>
    <row r="57" spans="1:3" ht="18" x14ac:dyDescent="0.35">
      <c r="A57" s="72">
        <v>27.5</v>
      </c>
      <c r="B57" s="99">
        <f t="shared" si="0"/>
        <v>26.28119691039316</v>
      </c>
      <c r="C57" s="98"/>
    </row>
    <row r="58" spans="1:3" ht="18" x14ac:dyDescent="0.35">
      <c r="A58" s="72">
        <v>28</v>
      </c>
      <c r="B58" s="99">
        <f t="shared" si="0"/>
        <v>25.47897843582729</v>
      </c>
      <c r="C58" s="98"/>
    </row>
    <row r="59" spans="1:3" ht="18" x14ac:dyDescent="0.35">
      <c r="A59" s="72">
        <v>28.5</v>
      </c>
      <c r="B59" s="99">
        <f t="shared" si="0"/>
        <v>24.701247220465376</v>
      </c>
      <c r="C59" s="98"/>
    </row>
    <row r="60" spans="1:3" ht="18" x14ac:dyDescent="0.35">
      <c r="A60" s="72">
        <v>29</v>
      </c>
      <c r="B60" s="99">
        <f t="shared" si="0"/>
        <v>23.947255804753258</v>
      </c>
      <c r="C60" s="98"/>
    </row>
    <row r="61" spans="1:3" ht="18" x14ac:dyDescent="0.35">
      <c r="A61" s="72">
        <v>29.5</v>
      </c>
      <c r="B61" s="99">
        <f t="shared" si="0"/>
        <v>23.216279544911355</v>
      </c>
      <c r="C61" s="98"/>
    </row>
    <row r="62" spans="1:3" ht="18" x14ac:dyDescent="0.35">
      <c r="A62" s="72">
        <v>30</v>
      </c>
      <c r="B62" s="99">
        <f t="shared" si="0"/>
        <v>22.507615916496157</v>
      </c>
      <c r="C62" s="98"/>
    </row>
    <row r="63" spans="1:3" ht="18" x14ac:dyDescent="0.35">
      <c r="A63" s="72">
        <v>30.5</v>
      </c>
      <c r="B63" s="99">
        <f t="shared" si="0"/>
        <v>21.820583839220195</v>
      </c>
      <c r="C63" s="98"/>
    </row>
    <row r="64" spans="1:3" ht="18" x14ac:dyDescent="0.35">
      <c r="A64" s="72">
        <v>31</v>
      </c>
      <c r="B64" s="99">
        <f t="shared" si="0"/>
        <v>21.154523022381468</v>
      </c>
      <c r="C64" s="98"/>
    </row>
    <row r="65" spans="1:3" ht="18" x14ac:dyDescent="0.35">
      <c r="A65" s="72">
        <v>31.5</v>
      </c>
      <c r="B65" s="99">
        <f t="shared" si="0"/>
        <v>20.508793330273253</v>
      </c>
      <c r="C65" s="98"/>
    </row>
    <row r="66" spans="1:3" ht="18" x14ac:dyDescent="0.35">
      <c r="A66" s="72">
        <v>32</v>
      </c>
      <c r="B66" s="99">
        <f t="shared" si="0"/>
        <v>19.882774166964442</v>
      </c>
      <c r="C66" s="98"/>
    </row>
    <row r="67" spans="1:3" ht="18" x14ac:dyDescent="0.35">
      <c r="A67" s="72">
        <v>32.5</v>
      </c>
      <c r="B67" s="99">
        <f t="shared" si="0"/>
        <v>19.275863879859056</v>
      </c>
      <c r="C67" s="98"/>
    </row>
    <row r="68" spans="1:3" ht="18" x14ac:dyDescent="0.35">
      <c r="A68" s="72">
        <v>33</v>
      </c>
      <c r="B68" s="99">
        <f t="shared" si="0"/>
        <v>18.687479181461832</v>
      </c>
      <c r="C68" s="98"/>
    </row>
    <row r="69" spans="1:3" ht="18" x14ac:dyDescent="0.35">
      <c r="A69" s="72">
        <v>33.5</v>
      </c>
      <c r="B69" s="99">
        <f t="shared" ref="B69:B72" si="1">144.583*EXP(-0.062*A69)</f>
        <v>18.117054588794012</v>
      </c>
      <c r="C69" s="98"/>
    </row>
    <row r="70" spans="1:3" ht="18" x14ac:dyDescent="0.35">
      <c r="A70" s="72">
        <v>34</v>
      </c>
      <c r="B70" s="99">
        <f t="shared" si="1"/>
        <v>17.564041879920719</v>
      </c>
      <c r="C70" s="98"/>
    </row>
    <row r="71" spans="1:3" ht="18" x14ac:dyDescent="0.35">
      <c r="A71" s="72">
        <v>34.5</v>
      </c>
      <c r="B71" s="99">
        <f t="shared" si="1"/>
        <v>17.027909567067464</v>
      </c>
      <c r="C71" s="98"/>
    </row>
    <row r="72" spans="1:3" ht="18.600000000000001" thickBot="1" x14ac:dyDescent="0.4">
      <c r="A72" s="73">
        <v>35</v>
      </c>
      <c r="B72" s="99">
        <f t="shared" si="1"/>
        <v>16.508142385819472</v>
      </c>
      <c r="C72" s="98"/>
    </row>
  </sheetData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FAFB0AF-3D5D-4263-A152-6976A1F846A7}">
            <xm:f>Feuil2!$AY$4</xm:f>
            <x14:dxf>
              <font>
                <b/>
                <i val="0"/>
                <color rgb="FFC00000"/>
              </font>
              <fill>
                <patternFill patternType="solid">
                  <bgColor rgb="FFFFC1C1"/>
                </patternFill>
              </fill>
            </x14:dxf>
          </x14:cfRule>
          <xm:sqref>C4:C72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74"/>
  <sheetViews>
    <sheetView workbookViewId="0">
      <selection activeCell="B7" sqref="B7"/>
    </sheetView>
  </sheetViews>
  <sheetFormatPr defaultColWidth="11.5546875" defaultRowHeight="14.4" x14ac:dyDescent="0.3"/>
  <cols>
    <col min="1" max="1" width="15.6640625" customWidth="1"/>
    <col min="3" max="3" width="13.109375" customWidth="1"/>
    <col min="13" max="13" width="12.5546875" bestFit="1" customWidth="1"/>
    <col min="16" max="16" width="12" bestFit="1" customWidth="1"/>
  </cols>
  <sheetData>
    <row r="2" spans="1:16" ht="18" x14ac:dyDescent="0.35">
      <c r="A2" s="34" t="s">
        <v>66</v>
      </c>
      <c r="B2" s="85">
        <f>'données + numéro d''équipe'!G5</f>
        <v>4</v>
      </c>
      <c r="C2" s="69" t="str">
        <f ca="1">OFFSET(Feuil2!C4,0,'h)'!B2,1,1)</f>
        <v>Considérez des prix allant de 0$ à 60$, par bonds de 10$.</v>
      </c>
    </row>
    <row r="3" spans="1:16" x14ac:dyDescent="0.3">
      <c r="B3" s="78"/>
      <c r="C3" s="25"/>
    </row>
    <row r="4" spans="1:16" ht="18.600000000000001" thickBot="1" x14ac:dyDescent="0.4">
      <c r="A4" s="66" t="s">
        <v>108</v>
      </c>
      <c r="L4" s="66" t="s">
        <v>102</v>
      </c>
      <c r="M4" s="34"/>
      <c r="N4" s="34"/>
      <c r="O4" s="34"/>
      <c r="P4" s="34"/>
    </row>
    <row r="5" spans="1:16" ht="18" x14ac:dyDescent="0.35">
      <c r="A5" s="80" t="s">
        <v>15</v>
      </c>
      <c r="B5" s="75" t="s">
        <v>32</v>
      </c>
      <c r="C5" s="76" t="s">
        <v>67</v>
      </c>
      <c r="L5" s="80" t="str">
        <f>Feuil2!AN8</f>
        <v>p</v>
      </c>
      <c r="M5" s="76" t="str">
        <f>Feuil2!AO8</f>
        <v>R modèle</v>
      </c>
      <c r="N5" s="34"/>
      <c r="O5" s="118" t="s">
        <v>68</v>
      </c>
      <c r="P5" s="117">
        <f ca="1">MAX(M6:M74)</f>
        <v>857.8613239736643</v>
      </c>
    </row>
    <row r="6" spans="1:16" ht="18.600000000000001" thickBot="1" x14ac:dyDescent="0.4">
      <c r="A6" s="63">
        <f ca="1">Feuil2!AI9</f>
        <v>0</v>
      </c>
      <c r="B6" s="71">
        <f ca="1">Feuil2!AJ9</f>
        <v>154</v>
      </c>
      <c r="C6" s="64">
        <f ca="1">Feuil2!AK9</f>
        <v>0</v>
      </c>
      <c r="L6" s="49">
        <f>Feuil2!AN9</f>
        <v>1</v>
      </c>
      <c r="M6" s="83">
        <f ca="1">Feuil2!AO9</f>
        <v>135.89108742091599</v>
      </c>
      <c r="N6" s="34"/>
      <c r="O6" s="119" t="s">
        <v>69</v>
      </c>
      <c r="P6" s="120">
        <f ca="1">INDEX(L6:L74,MATCH(P5,M6:M74,0),1)</f>
        <v>16</v>
      </c>
    </row>
    <row r="7" spans="1:16" ht="18" x14ac:dyDescent="0.35">
      <c r="A7" s="63">
        <f ca="1">Feuil2!AI10</f>
        <v>5</v>
      </c>
      <c r="B7" s="71">
        <f ca="1">Feuil2!AJ10</f>
        <v>125</v>
      </c>
      <c r="C7" s="64">
        <f ca="1">Feuil2!AK10</f>
        <v>625</v>
      </c>
      <c r="L7" s="49">
        <f>Feuil2!AN10</f>
        <v>1.5</v>
      </c>
      <c r="M7" s="83">
        <f ca="1">Feuil2!AO10</f>
        <v>197.61463477997535</v>
      </c>
      <c r="N7" s="34"/>
      <c r="O7" s="34"/>
      <c r="P7" s="34"/>
    </row>
    <row r="8" spans="1:16" ht="18" x14ac:dyDescent="0.35">
      <c r="A8" s="63">
        <f ca="1">Feuil2!AI11</f>
        <v>10</v>
      </c>
      <c r="B8" s="71">
        <f ca="1">Feuil2!AJ11</f>
        <v>80</v>
      </c>
      <c r="C8" s="64">
        <f ca="1">Feuil2!AK11</f>
        <v>800</v>
      </c>
      <c r="L8" s="49">
        <f>Feuil2!AN11</f>
        <v>2</v>
      </c>
      <c r="M8" s="83">
        <f ca="1">Feuil2!AO11</f>
        <v>255.44341506870154</v>
      </c>
      <c r="N8" s="34"/>
      <c r="O8" s="109" t="s">
        <v>103</v>
      </c>
      <c r="P8" s="110">
        <f ca="1">OFFSET(Feuil2!W3,0,'h)'!B2,1,1)</f>
        <v>0.95107760590725499</v>
      </c>
    </row>
    <row r="9" spans="1:16" ht="18" x14ac:dyDescent="0.35">
      <c r="A9" s="63">
        <f ca="1">Feuil2!AI12</f>
        <v>15</v>
      </c>
      <c r="B9" s="71">
        <f ca="1">Feuil2!AJ12</f>
        <v>48</v>
      </c>
      <c r="C9" s="64">
        <f ca="1">Feuil2!AK12</f>
        <v>720</v>
      </c>
      <c r="L9" s="49">
        <f>Feuil2!AN12</f>
        <v>2.5</v>
      </c>
      <c r="M9" s="83">
        <f ca="1">Feuil2!AO12</f>
        <v>309.55768901528319</v>
      </c>
      <c r="N9" s="34"/>
      <c r="O9" s="34"/>
      <c r="P9" s="34"/>
    </row>
    <row r="10" spans="1:16" ht="18" x14ac:dyDescent="0.35">
      <c r="A10" s="63">
        <f ca="1">Feuil2!AI13</f>
        <v>20</v>
      </c>
      <c r="B10" s="71">
        <f ca="1">Feuil2!AJ13</f>
        <v>39</v>
      </c>
      <c r="C10" s="64">
        <f ca="1">Feuil2!AK13</f>
        <v>780</v>
      </c>
      <c r="L10" s="49">
        <f>Feuil2!AN13</f>
        <v>3</v>
      </c>
      <c r="M10" s="83">
        <f ca="1">Feuil2!AO13</f>
        <v>360.1303415498183</v>
      </c>
      <c r="N10" s="34"/>
      <c r="O10" s="34"/>
      <c r="P10" s="34"/>
    </row>
    <row r="11" spans="1:16" ht="18" x14ac:dyDescent="0.35">
      <c r="A11" s="63">
        <f ca="1">Feuil2!AI14</f>
        <v>25</v>
      </c>
      <c r="B11" s="71">
        <f ca="1">Feuil2!AJ14</f>
        <v>22</v>
      </c>
      <c r="C11" s="64">
        <f ca="1">Feuil2!AK14</f>
        <v>550</v>
      </c>
      <c r="L11" s="49">
        <f>Feuil2!AN14</f>
        <v>3.5</v>
      </c>
      <c r="M11" s="83">
        <f ca="1">Feuil2!AO14</f>
        <v>407.3271641320876</v>
      </c>
      <c r="N11" s="34"/>
      <c r="O11" s="34"/>
      <c r="P11" s="34"/>
    </row>
    <row r="12" spans="1:16" ht="18" x14ac:dyDescent="0.35">
      <c r="A12" s="63">
        <f ca="1">Feuil2!AI15</f>
        <v>30</v>
      </c>
      <c r="B12" s="71">
        <f ca="1">Feuil2!AJ15</f>
        <v>18</v>
      </c>
      <c r="C12" s="64">
        <f ca="1">Feuil2!AK15</f>
        <v>540</v>
      </c>
      <c r="L12" s="49">
        <f>Feuil2!AN15</f>
        <v>4</v>
      </c>
      <c r="M12" s="83">
        <f ca="1">Feuil2!AO15</f>
        <v>451.30712671587213</v>
      </c>
      <c r="N12" s="34"/>
      <c r="O12" s="34"/>
      <c r="P12" s="34"/>
    </row>
    <row r="13" spans="1:16" ht="18" x14ac:dyDescent="0.35">
      <c r="A13" s="63">
        <f ca="1">Feuil2!AI16</f>
        <v>35</v>
      </c>
      <c r="B13" s="71">
        <f ca="1">Feuil2!AJ16</f>
        <v>17</v>
      </c>
      <c r="C13" s="64">
        <f ca="1">Feuil2!AK16</f>
        <v>595</v>
      </c>
      <c r="L13" s="49">
        <f>Feuil2!AN16</f>
        <v>4.5</v>
      </c>
      <c r="M13" s="83">
        <f ca="1">Feuil2!AO16</f>
        <v>492.22263971943539</v>
      </c>
      <c r="N13" s="34"/>
      <c r="O13" s="34"/>
      <c r="P13" s="34"/>
    </row>
    <row r="14" spans="1:16" ht="18" x14ac:dyDescent="0.35">
      <c r="A14" s="63">
        <f ca="1">Feuil2!AI17</f>
        <v>40</v>
      </c>
      <c r="B14" s="71">
        <f ca="1">Feuil2!AJ17</f>
        <v>17</v>
      </c>
      <c r="C14" s="64">
        <f ca="1">Feuil2!AK17</f>
        <v>680</v>
      </c>
      <c r="L14" s="49">
        <f>Feuil2!AN17</f>
        <v>5</v>
      </c>
      <c r="M14" s="83">
        <f ca="1">Feuil2!AO17</f>
        <v>530.21980635888201</v>
      </c>
      <c r="N14" s="34"/>
      <c r="O14" s="34"/>
      <c r="P14" s="34"/>
    </row>
    <row r="15" spans="1:16" ht="18" x14ac:dyDescent="0.35">
      <c r="A15" s="63">
        <f ca="1">Feuil2!AI18</f>
        <v>45</v>
      </c>
      <c r="B15" s="71">
        <f ca="1">Feuil2!AJ18</f>
        <v>11</v>
      </c>
      <c r="C15" s="64">
        <f ca="1">Feuil2!AK18</f>
        <v>495</v>
      </c>
      <c r="L15" s="49">
        <f>Feuil2!AN18</f>
        <v>5.5</v>
      </c>
      <c r="M15" s="83">
        <f ca="1">Feuil2!AO18</f>
        <v>565.43866568864041</v>
      </c>
      <c r="N15" s="34"/>
      <c r="O15" s="34"/>
      <c r="P15" s="34"/>
    </row>
    <row r="16" spans="1:16" ht="18" x14ac:dyDescent="0.35">
      <c r="A16" s="63">
        <f ca="1">Feuil2!AI19</f>
        <v>50</v>
      </c>
      <c r="B16" s="71">
        <f ca="1">Feuil2!AJ19</f>
        <v>11</v>
      </c>
      <c r="C16" s="64">
        <f ca="1">Feuil2!AK19</f>
        <v>550</v>
      </c>
      <c r="L16" s="49">
        <f>Feuil2!AN19</f>
        <v>6</v>
      </c>
      <c r="M16" s="83">
        <f ca="1">Feuil2!AO19</f>
        <v>598.01342668127791</v>
      </c>
      <c r="N16" s="34"/>
      <c r="O16" s="34"/>
      <c r="P16" s="34"/>
    </row>
    <row r="17" spans="1:16" ht="18" x14ac:dyDescent="0.35">
      <c r="A17" s="63">
        <f ca="1">Feuil2!AI20</f>
        <v>55</v>
      </c>
      <c r="B17" s="71">
        <f ca="1">Feuil2!AJ20</f>
        <v>3</v>
      </c>
      <c r="C17" s="64">
        <f ca="1">Feuil2!AK20</f>
        <v>165</v>
      </c>
      <c r="L17" s="49">
        <f>Feuil2!AN20</f>
        <v>6.5</v>
      </c>
      <c r="M17" s="83">
        <f ca="1">Feuil2!AO20</f>
        <v>628.07269366723904</v>
      </c>
      <c r="N17" s="34"/>
      <c r="O17" s="34"/>
      <c r="P17" s="34"/>
    </row>
    <row r="18" spans="1:16" ht="18" x14ac:dyDescent="0.35">
      <c r="A18" s="63">
        <f ca="1">Feuil2!AI21</f>
        <v>60</v>
      </c>
      <c r="B18" s="71">
        <f ca="1">Feuil2!AJ21</f>
        <v>3</v>
      </c>
      <c r="C18" s="64">
        <f ca="1">Feuil2!AK21</f>
        <v>180</v>
      </c>
      <c r="L18" s="49">
        <f>Feuil2!AN21</f>
        <v>7</v>
      </c>
      <c r="M18" s="83">
        <f ca="1">Feuil2!AO21</f>
        <v>655.73968344386913</v>
      </c>
      <c r="N18" s="34"/>
      <c r="O18" s="34"/>
      <c r="P18" s="34"/>
    </row>
    <row r="19" spans="1:16" ht="18" x14ac:dyDescent="0.35">
      <c r="A19" s="63" t="e">
        <f ca="1">Feuil2!AI22</f>
        <v>#N/A</v>
      </c>
      <c r="B19" s="71" t="e">
        <f ca="1">Feuil2!AJ22</f>
        <v>#N/A</v>
      </c>
      <c r="C19" s="64" t="e">
        <f ca="1">Feuil2!AK22</f>
        <v>#N/A</v>
      </c>
      <c r="L19" s="49">
        <f>Feuil2!AN22</f>
        <v>7.5</v>
      </c>
      <c r="M19" s="83">
        <f ca="1">Feuil2!AO22</f>
        <v>681.13243435225388</v>
      </c>
      <c r="N19" s="34"/>
      <c r="O19" s="34"/>
      <c r="P19" s="34"/>
    </row>
    <row r="20" spans="1:16" ht="18" x14ac:dyDescent="0.35">
      <c r="A20" s="63" t="e">
        <f ca="1">Feuil2!AI23</f>
        <v>#N/A</v>
      </c>
      <c r="B20" s="71" t="e">
        <f ca="1">Feuil2!AJ23</f>
        <v>#N/A</v>
      </c>
      <c r="C20" s="64" t="e">
        <f ca="1">Feuil2!AK23</f>
        <v>#N/A</v>
      </c>
      <c r="L20" s="49">
        <f>Feuil2!AN23</f>
        <v>8</v>
      </c>
      <c r="M20" s="83">
        <f ca="1">Feuil2!AO23</f>
        <v>704.36400760994115</v>
      </c>
      <c r="N20" s="34"/>
      <c r="O20" s="34"/>
      <c r="P20" s="34"/>
    </row>
    <row r="21" spans="1:16" ht="18" x14ac:dyDescent="0.35">
      <c r="A21" s="63" t="e">
        <f ca="1">Feuil2!AI24</f>
        <v>#N/A</v>
      </c>
      <c r="B21" s="71" t="e">
        <f ca="1">Feuil2!AJ24</f>
        <v>#N/A</v>
      </c>
      <c r="C21" s="64" t="e">
        <f ca="1">Feuil2!AK24</f>
        <v>#N/A</v>
      </c>
      <c r="L21" s="49">
        <f>Feuil2!AN24</f>
        <v>8.5</v>
      </c>
      <c r="M21" s="83">
        <f ca="1">Feuil2!AO24</f>
        <v>725.54268117750985</v>
      </c>
      <c r="N21" s="34"/>
      <c r="O21" s="34"/>
      <c r="P21" s="34"/>
    </row>
    <row r="22" spans="1:16" ht="18" x14ac:dyDescent="0.35">
      <c r="A22" s="63" t="e">
        <f ca="1">Feuil2!AI25</f>
        <v>#N/A</v>
      </c>
      <c r="B22" s="71" t="e">
        <f ca="1">Feuil2!AJ25</f>
        <v>#N/A</v>
      </c>
      <c r="C22" s="64" t="e">
        <f ca="1">Feuil2!AK25</f>
        <v>#N/A</v>
      </c>
      <c r="L22" s="49">
        <f>Feuil2!AN25</f>
        <v>9</v>
      </c>
      <c r="M22" s="83">
        <f ca="1">Feuil2!AO25</f>
        <v>744.77213642719357</v>
      </c>
      <c r="N22" s="34"/>
      <c r="O22" s="34"/>
      <c r="P22" s="34"/>
    </row>
    <row r="23" spans="1:16" ht="18" x14ac:dyDescent="0.35">
      <c r="A23" s="63" t="e">
        <f ca="1">Feuil2!AI26</f>
        <v>#N/A</v>
      </c>
      <c r="B23" s="71" t="e">
        <f ca="1">Feuil2!AJ26</f>
        <v>#N/A</v>
      </c>
      <c r="C23" s="64" t="e">
        <f ca="1">Feuil2!AK26</f>
        <v>#N/A</v>
      </c>
      <c r="L23" s="49">
        <f>Feuil2!AN26</f>
        <v>9.5</v>
      </c>
      <c r="M23" s="83">
        <f ca="1">Feuil2!AO26</f>
        <v>762.15163787235463</v>
      </c>
      <c r="N23" s="34"/>
      <c r="O23" s="34"/>
      <c r="P23" s="34"/>
    </row>
    <row r="24" spans="1:16" ht="18" x14ac:dyDescent="0.35">
      <c r="A24" s="63" t="e">
        <f ca="1">Feuil2!AI27</f>
        <v>#N/A</v>
      </c>
      <c r="B24" s="71" t="e">
        <f ca="1">Feuil2!AJ27</f>
        <v>#N/A</v>
      </c>
      <c r="C24" s="64" t="e">
        <f ca="1">Feuil2!AK27</f>
        <v>#N/A</v>
      </c>
      <c r="L24" s="49">
        <f>Feuil2!AN27</f>
        <v>10</v>
      </c>
      <c r="M24" s="83">
        <f ca="1">Feuil2!AO27</f>
        <v>777.77620620750815</v>
      </c>
      <c r="N24" s="34"/>
      <c r="O24" s="34"/>
      <c r="P24" s="34"/>
    </row>
    <row r="25" spans="1:16" ht="18" x14ac:dyDescent="0.35">
      <c r="A25" s="63" t="e">
        <f ca="1">Feuil2!AI28</f>
        <v>#N/A</v>
      </c>
      <c r="B25" s="71" t="e">
        <f ca="1">Feuil2!AJ28</f>
        <v>#N/A</v>
      </c>
      <c r="C25" s="64" t="e">
        <f ca="1">Feuil2!AK28</f>
        <v>#N/A</v>
      </c>
      <c r="L25" s="49">
        <f>Feuil2!AN28</f>
        <v>10.5</v>
      </c>
      <c r="M25" s="83">
        <f ca="1">Feuil2!AO28</f>
        <v>791.73678489981739</v>
      </c>
      <c r="N25" s="34"/>
      <c r="O25" s="34"/>
      <c r="P25" s="34"/>
    </row>
    <row r="26" spans="1:16" ht="18" x14ac:dyDescent="0.35">
      <c r="A26" s="63" t="e">
        <f ca="1">Feuil2!AI29</f>
        <v>#N/A</v>
      </c>
      <c r="B26" s="71" t="e">
        <f ca="1">Feuil2!AJ29</f>
        <v>#N/A</v>
      </c>
      <c r="C26" s="64" t="e">
        <f ca="1">Feuil2!AK29</f>
        <v>#N/A</v>
      </c>
      <c r="L26" s="49">
        <f>Feuil2!AN29</f>
        <v>11</v>
      </c>
      <c r="M26" s="83">
        <f ca="1">Feuil2!AO29</f>
        <v>804.12040056450758</v>
      </c>
      <c r="N26" s="34"/>
      <c r="O26" s="34"/>
      <c r="P26" s="34"/>
    </row>
    <row r="27" spans="1:16" ht="18" x14ac:dyDescent="0.35">
      <c r="A27" s="63" t="e">
        <f ca="1">Feuil2!AI30</f>
        <v>#N/A</v>
      </c>
      <c r="B27" s="71" t="e">
        <f ca="1">Feuil2!AJ30</f>
        <v>#N/A</v>
      </c>
      <c r="C27" s="64" t="e">
        <f ca="1">Feuil2!AK30</f>
        <v>#N/A</v>
      </c>
      <c r="L27" s="49">
        <f>Feuil2!AN30</f>
        <v>11.5</v>
      </c>
      <c r="M27" s="83">
        <f ca="1">Feuil2!AO30</f>
        <v>815.0103173484631</v>
      </c>
      <c r="N27" s="34"/>
      <c r="O27" s="34"/>
      <c r="P27" s="34"/>
    </row>
    <row r="28" spans="1:16" ht="18" x14ac:dyDescent="0.35">
      <c r="A28" s="63" t="e">
        <f ca="1">Feuil2!AI31</f>
        <v>#N/A</v>
      </c>
      <c r="B28" s="71" t="e">
        <f ca="1">Feuil2!AJ31</f>
        <v>#N/A</v>
      </c>
      <c r="C28" s="64" t="e">
        <f ca="1">Feuil2!AK31</f>
        <v>#N/A</v>
      </c>
      <c r="L28" s="49">
        <f>Feuil2!AN31</f>
        <v>12</v>
      </c>
      <c r="M28" s="83">
        <f ca="1">Feuil2!AO31</f>
        <v>824.48618553837389</v>
      </c>
      <c r="N28" s="34"/>
      <c r="O28" s="34"/>
      <c r="P28" s="34"/>
    </row>
    <row r="29" spans="1:16" ht="18" x14ac:dyDescent="0.35">
      <c r="A29" s="63" t="e">
        <f ca="1">Feuil2!AI32</f>
        <v>#N/A</v>
      </c>
      <c r="B29" s="71" t="e">
        <f ca="1">Feuil2!AJ32</f>
        <v>#N/A</v>
      </c>
      <c r="C29" s="64" t="e">
        <f ca="1">Feuil2!AK32</f>
        <v>#N/A</v>
      </c>
      <c r="L29" s="49">
        <f>Feuil2!AN32</f>
        <v>12.5</v>
      </c>
      <c r="M29" s="83">
        <f ca="1">Feuil2!AO32</f>
        <v>832.62418460216838</v>
      </c>
      <c r="N29" s="34"/>
      <c r="O29" s="34"/>
      <c r="P29" s="34"/>
    </row>
    <row r="30" spans="1:16" ht="18" x14ac:dyDescent="0.35">
      <c r="A30" s="63" t="e">
        <f ca="1">Feuil2!AI33</f>
        <v>#N/A</v>
      </c>
      <c r="B30" s="71" t="e">
        <f ca="1">Feuil2!AJ33</f>
        <v>#N/A</v>
      </c>
      <c r="C30" s="64" t="e">
        <f ca="1">Feuil2!AK33</f>
        <v>#N/A</v>
      </c>
      <c r="L30" s="49">
        <f>Feuil2!AN33</f>
        <v>13</v>
      </c>
      <c r="M30" s="83">
        <f ca="1">Feuil2!AO33</f>
        <v>839.49716086511194</v>
      </c>
      <c r="N30" s="34"/>
      <c r="O30" s="34"/>
      <c r="P30" s="34"/>
    </row>
    <row r="31" spans="1:16" ht="18" x14ac:dyDescent="0.35">
      <c r="A31" s="63" t="e">
        <f ca="1">Feuil2!AI34</f>
        <v>#N/A</v>
      </c>
      <c r="B31" s="71" t="e">
        <f ca="1">Feuil2!AJ34</f>
        <v>#N/A</v>
      </c>
      <c r="C31" s="64" t="e">
        <f ca="1">Feuil2!AK34</f>
        <v>#N/A</v>
      </c>
      <c r="L31" s="49">
        <f>Feuil2!AN34</f>
        <v>13.5</v>
      </c>
      <c r="M31" s="83">
        <f ca="1">Feuil2!AO34</f>
        <v>845.17476001483965</v>
      </c>
      <c r="N31" s="34"/>
      <c r="O31" s="34"/>
      <c r="P31" s="34"/>
    </row>
    <row r="32" spans="1:16" ht="18" x14ac:dyDescent="0.35">
      <c r="A32" s="63" t="e">
        <f ca="1">Feuil2!AI35</f>
        <v>#N/A</v>
      </c>
      <c r="B32" s="71" t="e">
        <f ca="1">Feuil2!AJ35</f>
        <v>#N/A</v>
      </c>
      <c r="C32" s="64" t="e">
        <f ca="1">Feuil2!AK35</f>
        <v>#N/A</v>
      </c>
      <c r="L32" s="49">
        <f>Feuil2!AN35</f>
        <v>14</v>
      </c>
      <c r="M32" s="83">
        <f ca="1">Feuil2!AO35</f>
        <v>849.72355462273413</v>
      </c>
      <c r="N32" s="34"/>
      <c r="O32" s="34"/>
      <c r="P32" s="34"/>
    </row>
    <row r="33" spans="1:16" ht="18" x14ac:dyDescent="0.35">
      <c r="A33" s="63" t="e">
        <f ca="1">Feuil2!AI36</f>
        <v>#N/A</v>
      </c>
      <c r="B33" s="71" t="e">
        <f ca="1">Feuil2!AJ36</f>
        <v>#N/A</v>
      </c>
      <c r="C33" s="64" t="e">
        <f ca="1">Feuil2!AK36</f>
        <v>#N/A</v>
      </c>
      <c r="L33" s="49">
        <f>Feuil2!AN36</f>
        <v>14.5</v>
      </c>
      <c r="M33" s="83">
        <f ca="1">Feuil2!AO36</f>
        <v>853.20716686243281</v>
      </c>
      <c r="N33" s="34"/>
      <c r="O33" s="34"/>
      <c r="P33" s="34"/>
    </row>
    <row r="34" spans="1:16" ht="18" x14ac:dyDescent="0.35">
      <c r="A34" s="63" t="e">
        <f ca="1">Feuil2!AI37</f>
        <v>#N/A</v>
      </c>
      <c r="B34" s="71" t="e">
        <f ca="1">Feuil2!AJ37</f>
        <v>#N/A</v>
      </c>
      <c r="C34" s="64" t="e">
        <f ca="1">Feuil2!AK37</f>
        <v>#N/A</v>
      </c>
      <c r="L34" s="49">
        <f>Feuil2!AN37</f>
        <v>15</v>
      </c>
      <c r="M34" s="83">
        <f ca="1">Feuil2!AO37</f>
        <v>855.68638659985811</v>
      </c>
      <c r="N34" s="34"/>
      <c r="O34" s="34"/>
      <c r="P34" s="34"/>
    </row>
    <row r="35" spans="1:16" ht="18" x14ac:dyDescent="0.35">
      <c r="A35" s="63" t="e">
        <f ca="1">Feuil2!AI38</f>
        <v>#N/A</v>
      </c>
      <c r="B35" s="71" t="e">
        <f ca="1">Feuil2!AJ38</f>
        <v>#N/A</v>
      </c>
      <c r="C35" s="64" t="e">
        <f ca="1">Feuil2!AK38</f>
        <v>#N/A</v>
      </c>
      <c r="L35" s="49">
        <f>Feuil2!AN38</f>
        <v>15.5</v>
      </c>
      <c r="M35" s="83">
        <f ca="1">Feuil2!AO38</f>
        <v>857.21928502299306</v>
      </c>
      <c r="N35" s="34"/>
      <c r="O35" s="34"/>
      <c r="P35" s="34"/>
    </row>
    <row r="36" spans="1:16" ht="18" x14ac:dyDescent="0.35">
      <c r="A36" s="63" t="e">
        <f ca="1">Feuil2!AI39</f>
        <v>#N/A</v>
      </c>
      <c r="B36" s="71" t="e">
        <f ca="1">Feuil2!AJ39</f>
        <v>#N/A</v>
      </c>
      <c r="C36" s="64" t="e">
        <f ca="1">Feuil2!AK39</f>
        <v>#N/A</v>
      </c>
      <c r="L36" s="49">
        <f>Feuil2!AN39</f>
        <v>16</v>
      </c>
      <c r="M36" s="83">
        <f ca="1">Feuil2!AO39</f>
        <v>857.8613239736643</v>
      </c>
      <c r="N36" s="34"/>
      <c r="O36" s="34"/>
      <c r="P36" s="34"/>
    </row>
    <row r="37" spans="1:16" ht="18" x14ac:dyDescent="0.35">
      <c r="A37" s="63" t="e">
        <f ca="1">Feuil2!AI40</f>
        <v>#N/A</v>
      </c>
      <c r="B37" s="71" t="e">
        <f ca="1">Feuil2!AJ40</f>
        <v>#N/A</v>
      </c>
      <c r="C37" s="64" t="e">
        <f ca="1">Feuil2!AK40</f>
        <v>#N/A</v>
      </c>
      <c r="L37" s="49">
        <f>Feuil2!AN40</f>
        <v>16.5</v>
      </c>
      <c r="M37" s="83">
        <f ca="1">Feuil2!AO40</f>
        <v>857.66546113784932</v>
      </c>
      <c r="N37" s="34"/>
      <c r="O37" s="34"/>
      <c r="P37" s="34"/>
    </row>
    <row r="38" spans="1:16" ht="18" x14ac:dyDescent="0.35">
      <c r="A38" s="63" t="e">
        <f ca="1">Feuil2!AI41</f>
        <v>#N/A</v>
      </c>
      <c r="B38" s="71" t="e">
        <f ca="1">Feuil2!AJ41</f>
        <v>#N/A</v>
      </c>
      <c r="C38" s="64" t="e">
        <f ca="1">Feuil2!AK41</f>
        <v>#N/A</v>
      </c>
      <c r="L38" s="49">
        <f>Feuil2!AN41</f>
        <v>17</v>
      </c>
      <c r="M38" s="83">
        <f ca="1">Feuil2!AO41</f>
        <v>856.68225124546791</v>
      </c>
      <c r="N38" s="34"/>
      <c r="O38" s="34"/>
      <c r="P38" s="34"/>
    </row>
    <row r="39" spans="1:16" ht="18" x14ac:dyDescent="0.35">
      <c r="A39" s="63" t="e">
        <f ca="1">Feuil2!AI42</f>
        <v>#N/A</v>
      </c>
      <c r="B39" s="71" t="e">
        <f ca="1">Feuil2!AJ42</f>
        <v>#N/A</v>
      </c>
      <c r="C39" s="64" t="e">
        <f ca="1">Feuil2!AK42</f>
        <v>#N/A</v>
      </c>
      <c r="L39" s="49">
        <f>Feuil2!AN42</f>
        <v>17.5</v>
      </c>
      <c r="M39" s="83">
        <f ca="1">Feuil2!AO42</f>
        <v>854.95994342526762</v>
      </c>
      <c r="N39" s="34"/>
      <c r="O39" s="34"/>
      <c r="P39" s="34"/>
    </row>
    <row r="40" spans="1:16" ht="18" x14ac:dyDescent="0.35">
      <c r="A40" s="63" t="e">
        <f ca="1">Feuil2!AI43</f>
        <v>#N/A</v>
      </c>
      <c r="B40" s="71" t="e">
        <f ca="1">Feuil2!AJ43</f>
        <v>#N/A</v>
      </c>
      <c r="C40" s="64" t="e">
        <f ca="1">Feuil2!AK43</f>
        <v>#N/A</v>
      </c>
      <c r="L40" s="49">
        <f>Feuil2!AN43</f>
        <v>18</v>
      </c>
      <c r="M40" s="83">
        <f ca="1">Feuil2!AO43</f>
        <v>852.54457485523687</v>
      </c>
      <c r="N40" s="34"/>
      <c r="O40" s="34"/>
      <c r="P40" s="34"/>
    </row>
    <row r="41" spans="1:16" ht="18" x14ac:dyDescent="0.35">
      <c r="A41" s="63" t="e">
        <f ca="1">Feuil2!AI44</f>
        <v>#N/A</v>
      </c>
      <c r="B41" s="71" t="e">
        <f ca="1">Feuil2!AJ44</f>
        <v>#N/A</v>
      </c>
      <c r="C41" s="64" t="e">
        <f ca="1">Feuil2!AK44</f>
        <v>#N/A</v>
      </c>
      <c r="L41" s="49">
        <f>Feuil2!AN44</f>
        <v>18.5</v>
      </c>
      <c r="M41" s="83">
        <f ca="1">Feuil2!AO44</f>
        <v>849.48006084398867</v>
      </c>
      <c r="N41" s="34"/>
      <c r="O41" s="34"/>
      <c r="P41" s="34"/>
    </row>
    <row r="42" spans="1:16" ht="18" x14ac:dyDescent="0.35">
      <c r="A42" s="63" t="e">
        <f ca="1">Feuil2!AI45</f>
        <v>#N/A</v>
      </c>
      <c r="B42" s="71" t="e">
        <f ca="1">Feuil2!AJ45</f>
        <v>#N/A</v>
      </c>
      <c r="C42" s="64" t="e">
        <f ca="1">Feuil2!AK45</f>
        <v>#N/A</v>
      </c>
      <c r="L42" s="49">
        <f>Feuil2!AN45</f>
        <v>19</v>
      </c>
      <c r="M42" s="83">
        <f ca="1">Feuil2!AO45</f>
        <v>845.80828147374496</v>
      </c>
      <c r="N42" s="34"/>
      <c r="O42" s="34"/>
      <c r="P42" s="34"/>
    </row>
    <row r="43" spans="1:16" ht="18" x14ac:dyDescent="0.35">
      <c r="A43" s="63" t="e">
        <f ca="1">Feuil2!AI46</f>
        <v>#N/A</v>
      </c>
      <c r="B43" s="71" t="e">
        <f ca="1">Feuil2!AJ46</f>
        <v>#N/A</v>
      </c>
      <c r="C43" s="64" t="e">
        <f ca="1">Feuil2!AK46</f>
        <v>#N/A</v>
      </c>
      <c r="L43" s="49">
        <f>Feuil2!AN46</f>
        <v>19.5</v>
      </c>
      <c r="M43" s="83">
        <f ca="1">Feuil2!AO46</f>
        <v>841.56916493089727</v>
      </c>
      <c r="N43" s="34"/>
      <c r="O43" s="34"/>
      <c r="P43" s="34"/>
    </row>
    <row r="44" spans="1:16" ht="18" x14ac:dyDescent="0.35">
      <c r="A44" s="63" t="e">
        <f ca="1">Feuil2!AI47</f>
        <v>#N/A</v>
      </c>
      <c r="B44" s="71" t="e">
        <f ca="1">Feuil2!AJ47</f>
        <v>#N/A</v>
      </c>
      <c r="C44" s="64" t="e">
        <f ca="1">Feuil2!AK47</f>
        <v>#N/A</v>
      </c>
      <c r="L44" s="49">
        <f>Feuil2!AN47</f>
        <v>20</v>
      </c>
      <c r="M44" s="83">
        <f ca="1">Feuil2!AO47</f>
        <v>836.80076764563501</v>
      </c>
      <c r="N44" s="34"/>
      <c r="O44" s="34"/>
      <c r="P44" s="34"/>
    </row>
    <row r="45" spans="1:16" ht="18.600000000000001" thickBot="1" x14ac:dyDescent="0.4">
      <c r="A45" s="61" t="e">
        <f ca="1">Feuil2!AI48</f>
        <v>#N/A</v>
      </c>
      <c r="B45" s="81" t="e">
        <f ca="1">Feuil2!AJ48</f>
        <v>#N/A</v>
      </c>
      <c r="C45" s="82" t="e">
        <f ca="1">Feuil2!AK48</f>
        <v>#N/A</v>
      </c>
      <c r="L45" s="49">
        <f>Feuil2!AN48</f>
        <v>20.5</v>
      </c>
      <c r="M45" s="83">
        <f ca="1">Feuil2!AO48</f>
        <v>831.53935135780353</v>
      </c>
      <c r="N45" s="34"/>
      <c r="O45" s="34"/>
      <c r="P45" s="34"/>
    </row>
    <row r="46" spans="1:16" ht="18" x14ac:dyDescent="0.35">
      <c r="L46" s="49">
        <f>Feuil2!AN49</f>
        <v>21</v>
      </c>
      <c r="M46" s="83">
        <f ca="1">Feuil2!AO49</f>
        <v>825.8194572219677</v>
      </c>
      <c r="N46" s="34"/>
      <c r="O46" s="34"/>
      <c r="P46" s="34"/>
    </row>
    <row r="47" spans="1:16" ht="18" x14ac:dyDescent="0.35">
      <c r="L47" s="49">
        <f>Feuil2!AN50</f>
        <v>21.5</v>
      </c>
      <c r="M47" s="83">
        <f ca="1">Feuil2!AO50</f>
        <v>819.67397706063809</v>
      </c>
      <c r="N47" s="34"/>
      <c r="O47" s="34"/>
      <c r="P47" s="34"/>
    </row>
    <row r="48" spans="1:16" ht="18" x14ac:dyDescent="0.35">
      <c r="L48" s="49">
        <f>Feuil2!AN51</f>
        <v>22</v>
      </c>
      <c r="M48" s="83">
        <f ca="1">Feuil2!AO51</f>
        <v>813.13422187070159</v>
      </c>
      <c r="N48" s="34"/>
      <c r="O48" s="34"/>
      <c r="P48" s="34"/>
    </row>
    <row r="49" spans="12:16" ht="18" x14ac:dyDescent="0.35">
      <c r="L49" s="49">
        <f>Feuil2!AN52</f>
        <v>22.5</v>
      </c>
      <c r="M49" s="83">
        <f ca="1">Feuil2!AO52</f>
        <v>806.22998768436821</v>
      </c>
      <c r="N49" s="34"/>
      <c r="O49" s="34"/>
      <c r="P49" s="34"/>
    </row>
    <row r="50" spans="12:16" ht="18" x14ac:dyDescent="0.35">
      <c r="L50" s="49">
        <f>Feuil2!AN53</f>
        <v>23</v>
      </c>
      <c r="M50" s="83">
        <f ca="1">Feuil2!AO53</f>
        <v>798.98961888229996</v>
      </c>
      <c r="N50" s="34"/>
      <c r="O50" s="34"/>
      <c r="P50" s="34"/>
    </row>
    <row r="51" spans="12:16" ht="18" x14ac:dyDescent="0.35">
      <c r="L51" s="49">
        <f>Feuil2!AN54</f>
        <v>23.5</v>
      </c>
      <c r="M51" s="83">
        <f ca="1">Feuil2!AO54</f>
        <v>791.44006905309823</v>
      </c>
      <c r="N51" s="34"/>
      <c r="O51" s="34"/>
      <c r="P51" s="34"/>
    </row>
    <row r="52" spans="12:16" ht="18" x14ac:dyDescent="0.35">
      <c r="L52" s="49">
        <f>Feuil2!AN55</f>
        <v>24</v>
      </c>
      <c r="M52" s="83">
        <f ca="1">Feuil2!AO55</f>
        <v>783.60695948995613</v>
      </c>
      <c r="N52" s="34"/>
      <c r="O52" s="34"/>
      <c r="P52" s="34"/>
    </row>
    <row r="53" spans="12:16" ht="18" x14ac:dyDescent="0.35">
      <c r="L53" s="49">
        <f>Feuil2!AN56</f>
        <v>24.5</v>
      </c>
      <c r="M53" s="83">
        <f ca="1">Feuil2!AO56</f>
        <v>775.51463541201019</v>
      </c>
      <c r="N53" s="34"/>
      <c r="O53" s="34"/>
      <c r="P53" s="34"/>
    </row>
    <row r="54" spans="12:16" ht="18" x14ac:dyDescent="0.35">
      <c r="L54" s="49">
        <f>Feuil2!AN57</f>
        <v>25</v>
      </c>
      <c r="M54" s="83">
        <f ca="1">Feuil2!AO57</f>
        <v>767.18621999479967</v>
      </c>
      <c r="N54" s="34"/>
      <c r="O54" s="34"/>
      <c r="P54" s="34"/>
    </row>
    <row r="55" spans="12:16" ht="18" x14ac:dyDescent="0.35">
      <c r="L55" s="49">
        <f>Feuil2!AN58</f>
        <v>25.5</v>
      </c>
      <c r="M55" s="83">
        <f ca="1">Feuil2!AO58</f>
        <v>758.64366629119843</v>
      </c>
      <c r="N55" s="34"/>
      <c r="O55" s="34"/>
      <c r="P55" s="34"/>
    </row>
    <row r="56" spans="12:16" ht="18" x14ac:dyDescent="0.35">
      <c r="L56" s="49">
        <f>Feuil2!AN59</f>
        <v>26</v>
      </c>
      <c r="M56" s="83">
        <f ca="1">Feuil2!AO59</f>
        <v>749.90780712125797</v>
      </c>
      <c r="N56" s="34"/>
      <c r="O56" s="34"/>
      <c r="P56" s="34"/>
    </row>
    <row r="57" spans="12:16" ht="18" x14ac:dyDescent="0.35">
      <c r="L57" s="49">
        <f>Feuil2!AN60</f>
        <v>26.5</v>
      </c>
      <c r="M57" s="83">
        <f ca="1">Feuil2!AO60</f>
        <v>740.99840300658809</v>
      </c>
      <c r="N57" s="34"/>
      <c r="O57" s="34"/>
      <c r="P57" s="34"/>
    </row>
    <row r="58" spans="12:16" ht="18" x14ac:dyDescent="0.35">
      <c r="L58" s="49">
        <f>Feuil2!AN61</f>
        <v>27</v>
      </c>
      <c r="M58" s="83">
        <f ca="1">Feuil2!AO61</f>
        <v>731.93418822216097</v>
      </c>
      <c r="N58" s="34"/>
      <c r="O58" s="34"/>
      <c r="P58" s="34"/>
    </row>
    <row r="59" spans="12:16" ht="18" x14ac:dyDescent="0.35">
      <c r="L59" s="49">
        <f>Feuil2!AN62</f>
        <v>27.5</v>
      </c>
      <c r="M59" s="83">
        <f ca="1">Feuil2!AO62</f>
        <v>722.73291503581186</v>
      </c>
      <c r="N59" s="34"/>
      <c r="O59" s="34"/>
      <c r="P59" s="34"/>
    </row>
    <row r="60" spans="12:16" ht="18" x14ac:dyDescent="0.35">
      <c r="L60" s="49">
        <f>Feuil2!AN63</f>
        <v>28</v>
      </c>
      <c r="M60" s="83">
        <f ca="1">Feuil2!AO63</f>
        <v>713.41139620316414</v>
      </c>
      <c r="N60" s="34"/>
      <c r="O60" s="34"/>
      <c r="P60" s="34"/>
    </row>
    <row r="61" spans="12:16" ht="18" x14ac:dyDescent="0.35">
      <c r="L61" s="49">
        <f>Feuil2!AN64</f>
        <v>28.5</v>
      </c>
      <c r="M61" s="83">
        <f ca="1">Feuil2!AO64</f>
        <v>703.98554578326321</v>
      </c>
      <c r="N61" s="34"/>
      <c r="O61" s="34"/>
      <c r="P61" s="34"/>
    </row>
    <row r="62" spans="12:16" ht="18" x14ac:dyDescent="0.35">
      <c r="L62" s="49">
        <f>Feuil2!AN65</f>
        <v>29</v>
      </c>
      <c r="M62" s="83">
        <f ca="1">Feuil2!AO65</f>
        <v>694.47041833784454</v>
      </c>
      <c r="N62" s="34"/>
      <c r="O62" s="34"/>
      <c r="P62" s="34"/>
    </row>
    <row r="63" spans="12:16" ht="18" x14ac:dyDescent="0.35">
      <c r="L63" s="49">
        <f>Feuil2!AN66</f>
        <v>29.5</v>
      </c>
      <c r="M63" s="83">
        <f ca="1">Feuil2!AO66</f>
        <v>684.88024657488495</v>
      </c>
      <c r="N63" s="34"/>
      <c r="O63" s="34"/>
      <c r="P63" s="34"/>
    </row>
    <row r="64" spans="12:16" ht="18" x14ac:dyDescent="0.35">
      <c r="L64" s="49">
        <f>Feuil2!AN67</f>
        <v>30</v>
      </c>
      <c r="M64" s="83">
        <f ca="1">Feuil2!AO67</f>
        <v>675.22847749488471</v>
      </c>
      <c r="N64" s="34"/>
      <c r="O64" s="34"/>
      <c r="P64" s="34"/>
    </row>
    <row r="65" spans="12:16" ht="18" x14ac:dyDescent="0.35">
      <c r="L65" s="49">
        <f>Feuil2!AN68</f>
        <v>30.5</v>
      </c>
      <c r="M65" s="83">
        <f ca="1">Feuil2!AO68</f>
        <v>665.52780709621595</v>
      </c>
      <c r="N65" s="34"/>
      <c r="O65" s="34"/>
      <c r="P65" s="34"/>
    </row>
    <row r="66" spans="12:16" ht="18" x14ac:dyDescent="0.35">
      <c r="L66" s="49">
        <f>Feuil2!AN69</f>
        <v>31</v>
      </c>
      <c r="M66" s="83">
        <f ca="1">Feuil2!AO69</f>
        <v>655.79021369382554</v>
      </c>
      <c r="N66" s="34"/>
      <c r="O66" s="34"/>
      <c r="P66" s="34"/>
    </row>
    <row r="67" spans="12:16" ht="18" x14ac:dyDescent="0.35">
      <c r="L67" s="49">
        <f>Feuil2!AN70</f>
        <v>31.5</v>
      </c>
      <c r="M67" s="83">
        <f ca="1">Feuil2!AO70</f>
        <v>646.0269899036075</v>
      </c>
      <c r="N67" s="34"/>
      <c r="O67" s="34"/>
      <c r="P67" s="34"/>
    </row>
    <row r="68" spans="12:16" ht="18" x14ac:dyDescent="0.35">
      <c r="L68" s="49">
        <f>Feuil2!AN71</f>
        <v>32</v>
      </c>
      <c r="M68" s="83">
        <f ca="1">Feuil2!AO71</f>
        <v>636.24877334286214</v>
      </c>
      <c r="N68" s="34"/>
      <c r="O68" s="34"/>
      <c r="P68" s="34"/>
    </row>
    <row r="69" spans="12:16" ht="18" x14ac:dyDescent="0.35">
      <c r="L69" s="49">
        <f>Feuil2!AN72</f>
        <v>32.5</v>
      </c>
      <c r="M69" s="83">
        <f ca="1">Feuil2!AO72</f>
        <v>626.46557609541935</v>
      </c>
      <c r="N69" s="34"/>
      <c r="O69" s="34"/>
      <c r="P69" s="34"/>
    </row>
    <row r="70" spans="12:16" ht="18" x14ac:dyDescent="0.35">
      <c r="L70" s="49">
        <f>Feuil2!AN73</f>
        <v>33</v>
      </c>
      <c r="M70" s="83">
        <f ca="1">Feuil2!AO73</f>
        <v>616.68681298824038</v>
      </c>
      <c r="N70" s="34"/>
      <c r="O70" s="34"/>
      <c r="P70" s="34"/>
    </row>
    <row r="71" spans="12:16" ht="18" x14ac:dyDescent="0.35">
      <c r="L71" s="49">
        <f>Feuil2!AN74</f>
        <v>33.5</v>
      </c>
      <c r="M71" s="83">
        <f ca="1">Feuil2!AO74</f>
        <v>606.92132872459945</v>
      </c>
      <c r="N71" s="34"/>
      <c r="O71" s="34"/>
      <c r="P71" s="34"/>
    </row>
    <row r="72" spans="12:16" ht="18" x14ac:dyDescent="0.35">
      <c r="L72" s="49">
        <f>Feuil2!AN75</f>
        <v>34</v>
      </c>
      <c r="M72" s="83">
        <f ca="1">Feuil2!AO75</f>
        <v>597.17742391730451</v>
      </c>
      <c r="N72" s="34"/>
      <c r="O72" s="34"/>
      <c r="P72" s="34"/>
    </row>
    <row r="73" spans="12:16" ht="18" x14ac:dyDescent="0.35">
      <c r="L73" s="49">
        <f>Feuil2!AN76</f>
        <v>34.5</v>
      </c>
      <c r="M73" s="83">
        <f ca="1">Feuil2!AO76</f>
        <v>587.46288006382758</v>
      </c>
      <c r="N73" s="34"/>
      <c r="O73" s="34"/>
      <c r="P73" s="34"/>
    </row>
    <row r="74" spans="12:16" ht="18.600000000000001" thickBot="1" x14ac:dyDescent="0.4">
      <c r="L74" s="50">
        <f>Feuil2!AN77</f>
        <v>35</v>
      </c>
      <c r="M74" s="84">
        <f ca="1">Feuil2!AO77</f>
        <v>577.78498350368159</v>
      </c>
      <c r="N74" s="34"/>
      <c r="O74" s="34"/>
      <c r="P74" s="34"/>
    </row>
  </sheetData>
  <conditionalFormatting sqref="C6:C45">
    <cfRule type="cellIs" dxfId="34" priority="2" operator="equal">
      <formula>800</formula>
    </cfRule>
  </conditionalFormatting>
  <conditionalFormatting sqref="A6:C45">
    <cfRule type="containsErrors" dxfId="33" priority="1">
      <formula>ISERROR(A6)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EFB97D05-77B5-48E5-B800-CF4B7FE1D1E3}">
            <xm:f>Feuil2!$AQ$4</xm:f>
            <x14:dxf>
              <font>
                <b/>
                <i val="0"/>
                <color rgb="FFC00000"/>
              </font>
            </x14:dxf>
          </x14:cfRule>
          <xm:sqref>M6:M74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58"/>
  <sheetViews>
    <sheetView topLeftCell="AF1" workbookViewId="0">
      <selection activeCell="AB8" sqref="AB8"/>
    </sheetView>
  </sheetViews>
  <sheetFormatPr defaultColWidth="11.5546875" defaultRowHeight="14.4" x14ac:dyDescent="0.3"/>
  <cols>
    <col min="51" max="51" width="29.44140625" customWidth="1"/>
    <col min="52" max="52" width="18.6640625" customWidth="1"/>
  </cols>
  <sheetData>
    <row r="1" spans="1:52" x14ac:dyDescent="0.3">
      <c r="A1" t="s">
        <v>76</v>
      </c>
      <c r="W1" t="s">
        <v>38</v>
      </c>
      <c r="X1">
        <f>'données + numéro d''équipe'!G5</f>
        <v>4</v>
      </c>
      <c r="Y1" t="s">
        <v>14</v>
      </c>
      <c r="Z1">
        <f ca="1">OFFSET(W4,0,X1,1,1)</f>
        <v>6.2E-2</v>
      </c>
      <c r="AA1" t="str">
        <f ca="1">CONCATENATE("Q(p) = ",ROUND(Z2,3)," EXP( -",ROUND(Z1,3)," p )")</f>
        <v>Q(p) = 144.583 EXP( -0.062 p )</v>
      </c>
    </row>
    <row r="2" spans="1:52" x14ac:dyDescent="0.3">
      <c r="Y2" t="s">
        <v>13</v>
      </c>
      <c r="Z2">
        <f ca="1">OFFSET(W5,0,X1,1,1)</f>
        <v>144.583</v>
      </c>
      <c r="AA2" t="e">
        <f ca="1">IF('g)'!C5="",NA(),OFFSET(W6,0,X1,1,1))</f>
        <v>#N/A</v>
      </c>
      <c r="AB2" t="e">
        <f>IF('g)'!C5="",NA(),Z2*EXP(-Z1*AA2)*AA2)</f>
        <v>#N/A</v>
      </c>
    </row>
    <row r="3" spans="1:52" x14ac:dyDescent="0.3">
      <c r="W3" t="s">
        <v>75</v>
      </c>
      <c r="X3">
        <f>RSQ(S9:S49,D9:D49)</f>
        <v>0.87309479435237869</v>
      </c>
      <c r="Y3">
        <f t="shared" ref="Y3:AB3" si="0">RSQ(T9:T49,E9:E49)</f>
        <v>0.87561159038066216</v>
      </c>
      <c r="Z3">
        <f t="shared" si="0"/>
        <v>0.94987665100373875</v>
      </c>
      <c r="AA3">
        <f t="shared" si="0"/>
        <v>0.95107760590725499</v>
      </c>
      <c r="AB3">
        <f t="shared" si="0"/>
        <v>0.95868322801906503</v>
      </c>
    </row>
    <row r="4" spans="1:52" x14ac:dyDescent="0.3">
      <c r="A4" t="s">
        <v>30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P4">
        <f ca="1">OFFSET(N6,0,'données + numéro d''équipe'!G5-1,1,1)</f>
        <v>800</v>
      </c>
      <c r="U4" t="s">
        <v>34</v>
      </c>
      <c r="W4" s="27" t="s">
        <v>14</v>
      </c>
      <c r="X4" s="27">
        <f>-ROUND(SLOPE(S9:S49,D9:D49),3)</f>
        <v>4.1000000000000002E-2</v>
      </c>
      <c r="Y4" s="27">
        <f t="shared" ref="Y4:AB4" si="1">-ROUND(SLOPE(T9:T49,E9:E49),3)</f>
        <v>4.2000000000000003E-2</v>
      </c>
      <c r="Z4" s="27">
        <f t="shared" si="1"/>
        <v>6.2E-2</v>
      </c>
      <c r="AA4" s="27">
        <f t="shared" si="1"/>
        <v>6.2E-2</v>
      </c>
      <c r="AB4" s="27">
        <f t="shared" si="1"/>
        <v>7.0999999999999994E-2</v>
      </c>
      <c r="AI4" t="str">
        <f ca="1">CONCATENATE("Q(p) = ",ROUND(AJ5,3)," e( -",ROUND(AJ6,3)," p )")</f>
        <v>Q(p) = 144.583 e( -0.062 p )</v>
      </c>
      <c r="AK4" t="str">
        <f ca="1">CONCATENATE("recettes max = ",ROUND(AM6,0),", pour le prix p = ",ROUND(AM5,0))</f>
        <v>recettes max = 858, pour le prix p = 16</v>
      </c>
      <c r="AL4">
        <v>35</v>
      </c>
      <c r="AM4">
        <v>80</v>
      </c>
      <c r="AQ4">
        <f ca="1">MAX(AO9:AO77)</f>
        <v>857.8613239736643</v>
      </c>
      <c r="AT4">
        <f ca="1">MAX(OFFSET(AK9,0,0,AL7,1))</f>
        <v>800</v>
      </c>
      <c r="AX4" t="s">
        <v>65</v>
      </c>
      <c r="AY4">
        <f>IF(COUNT('g)'!C4:C5)=2,MAX('g)'!C4:C72),999)</f>
        <v>999</v>
      </c>
    </row>
    <row r="5" spans="1:52" x14ac:dyDescent="0.3">
      <c r="A5">
        <v>0</v>
      </c>
      <c r="W5" s="27" t="s">
        <v>13</v>
      </c>
      <c r="X5" s="27">
        <f>ROUND(EXP(INTERCEPT(S9:S49,D9:D49)),3)</f>
        <v>77.661000000000001</v>
      </c>
      <c r="Y5" s="27">
        <f t="shared" ref="Y5:AB5" si="2">ROUND(EXP(INTERCEPT(T9:T49,E9:E49)),3)</f>
        <v>84.424000000000007</v>
      </c>
      <c r="Z5" s="27">
        <f t="shared" si="2"/>
        <v>134.75200000000001</v>
      </c>
      <c r="AA5" s="27">
        <f t="shared" si="2"/>
        <v>144.583</v>
      </c>
      <c r="AB5" s="27">
        <f t="shared" si="2"/>
        <v>142.84299999999999</v>
      </c>
      <c r="AI5" s="28" t="s">
        <v>13</v>
      </c>
      <c r="AJ5">
        <f ca="1">OFFSET(W5,0,AJ7,1,1)</f>
        <v>144.583</v>
      </c>
      <c r="AL5" t="s">
        <v>41</v>
      </c>
      <c r="AM5">
        <f ca="1">OFFSET(W6,0,AJ7,1,1)</f>
        <v>16.129032258064516</v>
      </c>
      <c r="AQ5">
        <f ca="1">MATCH(AQ4,AO9:AO77,0)</f>
        <v>31</v>
      </c>
      <c r="AT5">
        <f ca="1">MATCH(AT4,AK9:AK49,0)</f>
        <v>3</v>
      </c>
    </row>
    <row r="6" spans="1:52" x14ac:dyDescent="0.3">
      <c r="A6">
        <v>0.01</v>
      </c>
      <c r="C6">
        <v>1</v>
      </c>
      <c r="D6">
        <f>COUNT(D9:D49)</f>
        <v>41</v>
      </c>
      <c r="E6">
        <f t="shared" ref="E6:H6" si="3">COUNT(E9:E49)</f>
        <v>21</v>
      </c>
      <c r="F6">
        <f t="shared" si="3"/>
        <v>25</v>
      </c>
      <c r="G6">
        <f t="shared" si="3"/>
        <v>13</v>
      </c>
      <c r="H6">
        <f t="shared" si="3"/>
        <v>36</v>
      </c>
      <c r="N6" s="78">
        <f>MAX(N9:N49)</f>
        <v>800</v>
      </c>
      <c r="O6" s="78">
        <f t="shared" ref="O6:R6" si="4">MAX(O9:O49)</f>
        <v>800</v>
      </c>
      <c r="P6" s="78">
        <f t="shared" si="4"/>
        <v>800</v>
      </c>
      <c r="Q6" s="78">
        <f t="shared" si="4"/>
        <v>800</v>
      </c>
      <c r="R6" s="78">
        <f t="shared" si="4"/>
        <v>800</v>
      </c>
      <c r="W6" s="26" t="s">
        <v>36</v>
      </c>
      <c r="X6" s="26">
        <f>1/X4</f>
        <v>24.390243902439025</v>
      </c>
      <c r="Y6" s="26">
        <f t="shared" ref="Y6:AB6" si="5">1/Y4</f>
        <v>23.809523809523807</v>
      </c>
      <c r="Z6" s="26">
        <f t="shared" si="5"/>
        <v>16.129032258064516</v>
      </c>
      <c r="AA6" s="26">
        <f t="shared" si="5"/>
        <v>16.129032258064516</v>
      </c>
      <c r="AB6" s="26">
        <f t="shared" si="5"/>
        <v>14.084507042253522</v>
      </c>
      <c r="AI6" t="s">
        <v>14</v>
      </c>
      <c r="AJ6">
        <f ca="1">OFFSET(W4,0,AJ7,1,1)</f>
        <v>6.2E-2</v>
      </c>
      <c r="AL6" t="s">
        <v>42</v>
      </c>
      <c r="AM6">
        <f ca="1">AM5*AJ5*EXP(-AJ6*AM5)</f>
        <v>857.88892327242979</v>
      </c>
      <c r="AQ6" t="s">
        <v>60</v>
      </c>
      <c r="AR6" s="26">
        <f ca="1">INDEX(AN9:AN77,AQ5,1)</f>
        <v>16</v>
      </c>
      <c r="AS6" t="s">
        <v>59</v>
      </c>
      <c r="AT6" s="26">
        <f ca="1">INDEX(AI9:AI49,AT5,1)</f>
        <v>10</v>
      </c>
    </row>
    <row r="7" spans="1:52" ht="15" thickBot="1" x14ac:dyDescent="0.35">
      <c r="A7">
        <v>0.05</v>
      </c>
      <c r="D7" s="144" t="s">
        <v>31</v>
      </c>
      <c r="E7" s="144"/>
      <c r="F7" s="144"/>
      <c r="G7" s="144"/>
      <c r="H7" s="144"/>
      <c r="I7" s="144" t="s">
        <v>32</v>
      </c>
      <c r="J7" s="144"/>
      <c r="K7" s="144"/>
      <c r="L7" s="144"/>
      <c r="M7" s="144"/>
      <c r="N7" s="144" t="s">
        <v>16</v>
      </c>
      <c r="O7" s="144"/>
      <c r="P7" s="144"/>
      <c r="Q7" s="144"/>
      <c r="R7" s="144"/>
      <c r="S7" s="144" t="s">
        <v>33</v>
      </c>
      <c r="T7" s="144"/>
      <c r="U7" s="144"/>
      <c r="V7" s="144"/>
      <c r="W7" s="144"/>
      <c r="X7" s="144" t="s">
        <v>35</v>
      </c>
      <c r="Y7" s="144"/>
      <c r="Z7" s="144"/>
      <c r="AA7" s="144"/>
      <c r="AB7" s="144"/>
      <c r="AC7" s="144" t="s">
        <v>37</v>
      </c>
      <c r="AD7" s="144"/>
      <c r="AE7" s="144"/>
      <c r="AF7" s="144"/>
      <c r="AG7" s="144"/>
      <c r="AH7" s="1"/>
      <c r="AI7" t="s">
        <v>38</v>
      </c>
      <c r="AJ7" s="79">
        <f>'h)'!B2</f>
        <v>4</v>
      </c>
      <c r="AK7" t="s">
        <v>40</v>
      </c>
      <c r="AL7">
        <f ca="1">COUNT(OFFSET(D9,0,AJ7-1,41,1))</f>
        <v>13</v>
      </c>
    </row>
    <row r="8" spans="1:52" ht="36" x14ac:dyDescent="0.3">
      <c r="A8">
        <v>0.1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I8" t="s">
        <v>15</v>
      </c>
      <c r="AJ8" t="s">
        <v>32</v>
      </c>
      <c r="AK8" t="s">
        <v>39</v>
      </c>
      <c r="AL8" t="s">
        <v>35</v>
      </c>
      <c r="AM8" t="s">
        <v>37</v>
      </c>
      <c r="AN8" t="s">
        <v>15</v>
      </c>
      <c r="AO8" t="s">
        <v>37</v>
      </c>
      <c r="AX8" s="47" t="s">
        <v>22</v>
      </c>
      <c r="AY8" s="51" t="s">
        <v>23</v>
      </c>
      <c r="AZ8" s="48" t="s">
        <v>24</v>
      </c>
    </row>
    <row r="9" spans="1:52" ht="18" x14ac:dyDescent="0.35">
      <c r="A9">
        <v>0.25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f t="shared" ref="I9:I49" si="6">IF(D9="","",COUNTIF($A$5:$A$158,"&gt;="&amp;D9))</f>
        <v>154</v>
      </c>
      <c r="J9">
        <f t="shared" ref="J9:J49" si="7">IF(E9="","",COUNTIF($A$5:$A$158,"&gt;="&amp;E9))</f>
        <v>154</v>
      </c>
      <c r="K9">
        <f t="shared" ref="K9:K49" si="8">IF(F9="","",COUNTIF($A$5:$A$158,"&gt;="&amp;F9))</f>
        <v>154</v>
      </c>
      <c r="L9">
        <f t="shared" ref="L9:L49" si="9">IF(G9="","",COUNTIF($A$5:$A$158,"&gt;="&amp;G9))</f>
        <v>154</v>
      </c>
      <c r="M9">
        <f t="shared" ref="M9:M49" si="10">IF(H9="","",COUNTIF($A$5:$A$158,"&gt;="&amp;H9))</f>
        <v>154</v>
      </c>
      <c r="N9">
        <f t="shared" ref="N9:N49" si="11">IF(D9="","",D9*I9)</f>
        <v>0</v>
      </c>
      <c r="O9">
        <f t="shared" ref="O9:O49" si="12">IF(E9="","",E9*J9)</f>
        <v>0</v>
      </c>
      <c r="P9">
        <f t="shared" ref="P9:P49" si="13">IF(F9="","",F9*K9)</f>
        <v>0</v>
      </c>
      <c r="Q9">
        <f t="shared" ref="Q9:Q49" si="14">IF(G9="","",G9*L9)</f>
        <v>0</v>
      </c>
      <c r="R9">
        <f t="shared" ref="R9:R49" si="15">IF(H9="","",H9*M9)</f>
        <v>0</v>
      </c>
      <c r="S9">
        <f>IF(I9="","",LN(I9))</f>
        <v>5.0369526024136295</v>
      </c>
      <c r="T9">
        <f>IF(J9="","",LN(J9))</f>
        <v>5.0369526024136295</v>
      </c>
      <c r="U9">
        <f>IF(K9="","",LN(K9))</f>
        <v>5.0369526024136295</v>
      </c>
      <c r="V9">
        <f>IF(L9="","",LN(L9))</f>
        <v>5.0369526024136295</v>
      </c>
      <c r="W9">
        <f>IF(M9="","",LN(M9))</f>
        <v>5.0369526024136295</v>
      </c>
      <c r="X9">
        <f t="shared" ref="X9:X49" si="16">IF(S9="","",X$5*EXP(-X$4*D9))</f>
        <v>77.661000000000001</v>
      </c>
      <c r="Y9">
        <f t="shared" ref="Y9:Y49" si="17">IF(T9="","",Y$5*EXP(-Y$4*E9))</f>
        <v>84.424000000000007</v>
      </c>
      <c r="Z9">
        <f t="shared" ref="Z9:Z49" si="18">IF(U9="","",Z$5*EXP(-Z$4*F9))</f>
        <v>134.75200000000001</v>
      </c>
      <c r="AA9">
        <f t="shared" ref="AA9:AA49" si="19">IF(V9="","",AA$5*EXP(-AA$4*G9))</f>
        <v>144.583</v>
      </c>
      <c r="AB9">
        <f t="shared" ref="AB9:AB49" si="20">IF(W9="","",AB$5*EXP(-AB$4*H9))</f>
        <v>142.84299999999999</v>
      </c>
      <c r="AC9">
        <f t="shared" ref="AC9:AC49" si="21">IF(X9="","",X9*D9)</f>
        <v>0</v>
      </c>
      <c r="AD9">
        <f t="shared" ref="AD9:AD49" si="22">IF(Y9="","",Y9*E9)</f>
        <v>0</v>
      </c>
      <c r="AE9">
        <f t="shared" ref="AE9:AE49" si="23">IF(Z9="","",Z9*F9)</f>
        <v>0</v>
      </c>
      <c r="AF9">
        <f t="shared" ref="AF9:AF49" si="24">IF(AA9="","",AA9*G9)</f>
        <v>0</v>
      </c>
      <c r="AG9">
        <f t="shared" ref="AG9:AG49" si="25">IF(AB9="","",AB9*H9)</f>
        <v>0</v>
      </c>
      <c r="AH9">
        <v>1</v>
      </c>
      <c r="AI9">
        <f t="array" aca="1" ref="AI9:AI49" ca="1">OFFSET(D9,0,AJ7-1,AL7,1)</f>
        <v>0</v>
      </c>
      <c r="AJ9">
        <f t="array" aca="1" ref="AJ9:AJ49" ca="1">OFFSET(I9,0,AJ7-1,AL7,1)</f>
        <v>154</v>
      </c>
      <c r="AK9">
        <f ca="1">AI9*AJ9</f>
        <v>0</v>
      </c>
      <c r="AL9">
        <f ca="1">OFFSET($W$5,0,$AJ$7,1,1)*EXP(-OFFSET($W$4,0,$AJ$7,1,1)*AI9)</f>
        <v>144.583</v>
      </c>
      <c r="AM9">
        <f ca="1">AI9*AL9</f>
        <v>0</v>
      </c>
      <c r="AN9">
        <v>1</v>
      </c>
      <c r="AO9">
        <f ca="1">AN9*ROUND($AJ$5,3)*EXP(-ROUND($AJ$6,3)*AN9)</f>
        <v>135.89108742091599</v>
      </c>
      <c r="AX9" s="49">
        <v>5</v>
      </c>
      <c r="AY9" s="52"/>
      <c r="AZ9" s="45"/>
    </row>
    <row r="10" spans="1:52" ht="18" x14ac:dyDescent="0.35">
      <c r="A10">
        <v>0.25</v>
      </c>
      <c r="C10">
        <v>2</v>
      </c>
      <c r="D10">
        <v>2.5</v>
      </c>
      <c r="E10">
        <v>5</v>
      </c>
      <c r="F10">
        <v>2.5</v>
      </c>
      <c r="G10">
        <v>5</v>
      </c>
      <c r="H10">
        <v>1</v>
      </c>
      <c r="I10">
        <f t="shared" si="6"/>
        <v>132</v>
      </c>
      <c r="J10">
        <f t="shared" si="7"/>
        <v>125</v>
      </c>
      <c r="K10">
        <f t="shared" si="8"/>
        <v>132</v>
      </c>
      <c r="L10">
        <f t="shared" si="9"/>
        <v>125</v>
      </c>
      <c r="M10">
        <f t="shared" si="10"/>
        <v>147</v>
      </c>
      <c r="N10">
        <f t="shared" si="11"/>
        <v>330</v>
      </c>
      <c r="O10">
        <f t="shared" si="12"/>
        <v>625</v>
      </c>
      <c r="P10">
        <f t="shared" si="13"/>
        <v>330</v>
      </c>
      <c r="Q10">
        <f t="shared" si="14"/>
        <v>625</v>
      </c>
      <c r="R10">
        <f t="shared" si="15"/>
        <v>147</v>
      </c>
      <c r="S10">
        <f t="shared" ref="S10:S48" si="26">IF(I10="","",LN(I10))</f>
        <v>4.8828019225863706</v>
      </c>
      <c r="T10">
        <f t="shared" ref="T10:T48" si="27">IF(J10="","",LN(J10))</f>
        <v>4.8283137373023015</v>
      </c>
      <c r="U10">
        <f t="shared" ref="U10:U48" si="28">IF(K10="","",LN(K10))</f>
        <v>4.8828019225863706</v>
      </c>
      <c r="V10">
        <f t="shared" ref="V10:V48" si="29">IF(L10="","",LN(L10))</f>
        <v>4.8283137373023015</v>
      </c>
      <c r="W10">
        <f t="shared" ref="W10:W48" si="30">IF(M10="","",LN(M10))</f>
        <v>4.990432586778736</v>
      </c>
      <c r="X10">
        <f t="shared" si="16"/>
        <v>70.095121687961964</v>
      </c>
      <c r="Y10">
        <f t="shared" si="17"/>
        <v>68.432764381787081</v>
      </c>
      <c r="Z10">
        <f t="shared" si="18"/>
        <v>115.40365799627189</v>
      </c>
      <c r="AA10">
        <f t="shared" si="19"/>
        <v>106.04396127177641</v>
      </c>
      <c r="AB10">
        <f t="shared" si="20"/>
        <v>133.05281105718163</v>
      </c>
      <c r="AC10">
        <f t="shared" si="21"/>
        <v>175.23780421990492</v>
      </c>
      <c r="AD10">
        <f t="shared" si="22"/>
        <v>342.1638219089354</v>
      </c>
      <c r="AE10">
        <f t="shared" si="23"/>
        <v>288.50914499067972</v>
      </c>
      <c r="AF10">
        <f t="shared" si="24"/>
        <v>530.21980635888201</v>
      </c>
      <c r="AG10">
        <f t="shared" si="25"/>
        <v>133.05281105718163</v>
      </c>
      <c r="AH10">
        <v>2</v>
      </c>
      <c r="AI10">
        <f ca="1"/>
        <v>5</v>
      </c>
      <c r="AJ10">
        <f ca="1"/>
        <v>125</v>
      </c>
      <c r="AK10">
        <f t="shared" ref="AK10:AK49" ca="1" si="31">AI10*AJ10</f>
        <v>625</v>
      </c>
      <c r="AL10">
        <f t="shared" ref="AL10:AL49" ca="1" si="32">OFFSET($W$5,0,$AJ$7,1,1)*EXP(-OFFSET($W$4,0,$AJ$7,1,1)*AI10)</f>
        <v>106.04396127177641</v>
      </c>
      <c r="AM10">
        <f t="shared" ref="AM10:AM49" ca="1" si="33">AI10*AL10</f>
        <v>530.21980635888201</v>
      </c>
      <c r="AN10">
        <v>1.5</v>
      </c>
      <c r="AO10">
        <f t="shared" ref="AO10:AO73" ca="1" si="34">AN10*ROUND($AJ$5,3)*EXP(-ROUND($AJ$6,3)*AN10)</f>
        <v>197.61463477997535</v>
      </c>
      <c r="AX10" s="49">
        <v>15</v>
      </c>
      <c r="AY10" s="52"/>
      <c r="AZ10" s="45"/>
    </row>
    <row r="11" spans="1:52" ht="18" x14ac:dyDescent="0.35">
      <c r="A11">
        <v>0.5</v>
      </c>
      <c r="C11">
        <v>3</v>
      </c>
      <c r="D11">
        <v>5</v>
      </c>
      <c r="E11">
        <v>10</v>
      </c>
      <c r="F11">
        <v>5</v>
      </c>
      <c r="G11">
        <v>10</v>
      </c>
      <c r="H11">
        <v>2</v>
      </c>
      <c r="I11">
        <f t="shared" si="6"/>
        <v>125</v>
      </c>
      <c r="J11">
        <f t="shared" si="7"/>
        <v>80</v>
      </c>
      <c r="K11">
        <f t="shared" si="8"/>
        <v>125</v>
      </c>
      <c r="L11">
        <f t="shared" si="9"/>
        <v>80</v>
      </c>
      <c r="M11">
        <f t="shared" si="10"/>
        <v>141</v>
      </c>
      <c r="N11">
        <f t="shared" si="11"/>
        <v>625</v>
      </c>
      <c r="O11">
        <f t="shared" si="12"/>
        <v>800</v>
      </c>
      <c r="P11">
        <f t="shared" si="13"/>
        <v>625</v>
      </c>
      <c r="Q11">
        <f t="shared" si="14"/>
        <v>800</v>
      </c>
      <c r="R11">
        <f t="shared" si="15"/>
        <v>282</v>
      </c>
      <c r="S11">
        <f t="shared" si="26"/>
        <v>4.8283137373023015</v>
      </c>
      <c r="T11">
        <f t="shared" si="27"/>
        <v>4.3820266346738812</v>
      </c>
      <c r="U11">
        <f t="shared" si="28"/>
        <v>4.8283137373023015</v>
      </c>
      <c r="V11">
        <f t="shared" si="29"/>
        <v>4.3820266346738812</v>
      </c>
      <c r="W11">
        <f t="shared" si="30"/>
        <v>4.9487598903781684</v>
      </c>
      <c r="X11">
        <f t="shared" si="16"/>
        <v>63.266325239826863</v>
      </c>
      <c r="Y11">
        <f t="shared" si="17"/>
        <v>55.470520716066353</v>
      </c>
      <c r="Z11">
        <f t="shared" si="18"/>
        <v>98.833444245135425</v>
      </c>
      <c r="AA11">
        <f t="shared" si="19"/>
        <v>77.777620620750824</v>
      </c>
      <c r="AB11">
        <f t="shared" si="20"/>
        <v>123.93362314021741</v>
      </c>
      <c r="AC11">
        <f t="shared" si="21"/>
        <v>316.33162619913429</v>
      </c>
      <c r="AD11">
        <f t="shared" si="22"/>
        <v>554.70520716066358</v>
      </c>
      <c r="AE11">
        <f t="shared" si="23"/>
        <v>494.16722122567711</v>
      </c>
      <c r="AF11">
        <f t="shared" si="24"/>
        <v>777.77620620750827</v>
      </c>
      <c r="AG11">
        <f t="shared" si="25"/>
        <v>247.86724628043481</v>
      </c>
      <c r="AH11">
        <v>3</v>
      </c>
      <c r="AI11">
        <f ca="1"/>
        <v>10</v>
      </c>
      <c r="AJ11">
        <f ca="1"/>
        <v>80</v>
      </c>
      <c r="AK11">
        <f t="shared" ca="1" si="31"/>
        <v>800</v>
      </c>
      <c r="AL11">
        <f t="shared" ca="1" si="32"/>
        <v>77.777620620750824</v>
      </c>
      <c r="AM11">
        <f t="shared" ca="1" si="33"/>
        <v>777.77620620750827</v>
      </c>
      <c r="AN11">
        <v>2</v>
      </c>
      <c r="AO11">
        <f t="shared" ca="1" si="34"/>
        <v>255.44341506870154</v>
      </c>
      <c r="AX11" s="49">
        <v>25</v>
      </c>
      <c r="AY11" s="52"/>
      <c r="AZ11" s="45"/>
    </row>
    <row r="12" spans="1:52" ht="18.600000000000001" thickBot="1" x14ac:dyDescent="0.4">
      <c r="A12">
        <v>1</v>
      </c>
      <c r="C12">
        <v>4</v>
      </c>
      <c r="D12">
        <v>7.5</v>
      </c>
      <c r="E12">
        <v>15</v>
      </c>
      <c r="F12">
        <v>7.5</v>
      </c>
      <c r="G12">
        <v>15</v>
      </c>
      <c r="H12">
        <v>3</v>
      </c>
      <c r="I12">
        <f t="shared" si="6"/>
        <v>84</v>
      </c>
      <c r="J12">
        <f t="shared" si="7"/>
        <v>48</v>
      </c>
      <c r="K12">
        <f t="shared" si="8"/>
        <v>84</v>
      </c>
      <c r="L12">
        <f t="shared" si="9"/>
        <v>48</v>
      </c>
      <c r="M12">
        <f t="shared" si="10"/>
        <v>131</v>
      </c>
      <c r="N12">
        <f t="shared" si="11"/>
        <v>630</v>
      </c>
      <c r="O12">
        <f t="shared" si="12"/>
        <v>720</v>
      </c>
      <c r="P12">
        <f t="shared" si="13"/>
        <v>630</v>
      </c>
      <c r="Q12">
        <f t="shared" si="14"/>
        <v>720</v>
      </c>
      <c r="R12">
        <f t="shared" si="15"/>
        <v>393</v>
      </c>
      <c r="S12">
        <f t="shared" si="26"/>
        <v>4.4308167988433134</v>
      </c>
      <c r="T12">
        <f t="shared" si="27"/>
        <v>3.8712010109078911</v>
      </c>
      <c r="U12">
        <f t="shared" si="28"/>
        <v>4.4308167988433134</v>
      </c>
      <c r="V12">
        <f t="shared" si="29"/>
        <v>3.8712010109078911</v>
      </c>
      <c r="W12">
        <f t="shared" si="30"/>
        <v>4.8751973232011512</v>
      </c>
      <c r="X12">
        <f t="shared" si="16"/>
        <v>57.102802776629751</v>
      </c>
      <c r="Y12">
        <f t="shared" si="17"/>
        <v>44.963530208206294</v>
      </c>
      <c r="Z12">
        <f t="shared" si="18"/>
        <v>84.642461694514495</v>
      </c>
      <c r="AA12">
        <f t="shared" si="19"/>
        <v>57.045759106657208</v>
      </c>
      <c r="AB12">
        <f t="shared" si="20"/>
        <v>115.43944710841484</v>
      </c>
      <c r="AC12">
        <f t="shared" si="21"/>
        <v>428.27102082472311</v>
      </c>
      <c r="AD12">
        <f t="shared" si="22"/>
        <v>674.4529531230944</v>
      </c>
      <c r="AE12">
        <f t="shared" si="23"/>
        <v>634.81846270885876</v>
      </c>
      <c r="AF12">
        <f t="shared" si="24"/>
        <v>855.68638659985811</v>
      </c>
      <c r="AG12">
        <f t="shared" si="25"/>
        <v>346.31834132524455</v>
      </c>
      <c r="AH12">
        <v>4</v>
      </c>
      <c r="AI12">
        <f ca="1"/>
        <v>15</v>
      </c>
      <c r="AJ12">
        <f ca="1"/>
        <v>48</v>
      </c>
      <c r="AK12">
        <f t="shared" ca="1" si="31"/>
        <v>720</v>
      </c>
      <c r="AL12">
        <f t="shared" ca="1" si="32"/>
        <v>57.045759106657208</v>
      </c>
      <c r="AM12">
        <f t="shared" ca="1" si="33"/>
        <v>855.68638659985811</v>
      </c>
      <c r="AN12">
        <v>2.5</v>
      </c>
      <c r="AO12">
        <f t="shared" ca="1" si="34"/>
        <v>309.55768901528319</v>
      </c>
      <c r="AX12" s="50">
        <v>35</v>
      </c>
      <c r="AY12" s="53"/>
      <c r="AZ12" s="46"/>
    </row>
    <row r="13" spans="1:52" x14ac:dyDescent="0.3">
      <c r="A13">
        <v>1</v>
      </c>
      <c r="C13">
        <v>5</v>
      </c>
      <c r="D13">
        <v>10</v>
      </c>
      <c r="E13">
        <v>20</v>
      </c>
      <c r="F13">
        <v>10</v>
      </c>
      <c r="G13">
        <v>20</v>
      </c>
      <c r="H13">
        <v>4</v>
      </c>
      <c r="I13">
        <f t="shared" si="6"/>
        <v>80</v>
      </c>
      <c r="J13">
        <f t="shared" si="7"/>
        <v>39</v>
      </c>
      <c r="K13">
        <f t="shared" si="8"/>
        <v>80</v>
      </c>
      <c r="L13">
        <f t="shared" si="9"/>
        <v>39</v>
      </c>
      <c r="M13">
        <f t="shared" si="10"/>
        <v>128</v>
      </c>
      <c r="N13">
        <f t="shared" si="11"/>
        <v>800</v>
      </c>
      <c r="O13">
        <f t="shared" si="12"/>
        <v>780</v>
      </c>
      <c r="P13">
        <f t="shared" si="13"/>
        <v>800</v>
      </c>
      <c r="Q13">
        <f t="shared" si="14"/>
        <v>780</v>
      </c>
      <c r="R13">
        <f t="shared" si="15"/>
        <v>512</v>
      </c>
      <c r="S13">
        <f t="shared" si="26"/>
        <v>4.3820266346738812</v>
      </c>
      <c r="T13">
        <f t="shared" si="27"/>
        <v>3.6635616461296463</v>
      </c>
      <c r="U13">
        <f t="shared" si="28"/>
        <v>4.3820266346738812</v>
      </c>
      <c r="V13">
        <f t="shared" si="29"/>
        <v>3.6635616461296463</v>
      </c>
      <c r="W13">
        <f t="shared" si="30"/>
        <v>4.8520302639196169</v>
      </c>
      <c r="X13">
        <f t="shared" si="16"/>
        <v>51.539742075836699</v>
      </c>
      <c r="Y13">
        <f t="shared" si="17"/>
        <v>36.446729229976626</v>
      </c>
      <c r="Z13">
        <f t="shared" si="18"/>
        <v>72.489088854757583</v>
      </c>
      <c r="AA13">
        <f t="shared" si="19"/>
        <v>41.840038382281755</v>
      </c>
      <c r="AB13">
        <f t="shared" si="20"/>
        <v>107.52744582976719</v>
      </c>
      <c r="AC13">
        <f t="shared" si="21"/>
        <v>515.39742075836693</v>
      </c>
      <c r="AD13">
        <f t="shared" si="22"/>
        <v>728.93458459953251</v>
      </c>
      <c r="AE13">
        <f t="shared" si="23"/>
        <v>724.89088854757586</v>
      </c>
      <c r="AF13">
        <f t="shared" si="24"/>
        <v>836.80076764563512</v>
      </c>
      <c r="AG13">
        <f t="shared" si="25"/>
        <v>430.10978331906875</v>
      </c>
      <c r="AH13">
        <v>5</v>
      </c>
      <c r="AI13">
        <f ca="1"/>
        <v>20</v>
      </c>
      <c r="AJ13">
        <f ca="1"/>
        <v>39</v>
      </c>
      <c r="AK13">
        <f t="shared" ca="1" si="31"/>
        <v>780</v>
      </c>
      <c r="AL13">
        <f t="shared" ca="1" si="32"/>
        <v>41.840038382281755</v>
      </c>
      <c r="AM13">
        <f t="shared" ca="1" si="33"/>
        <v>836.80076764563512</v>
      </c>
      <c r="AN13">
        <v>3</v>
      </c>
      <c r="AO13">
        <f t="shared" ca="1" si="34"/>
        <v>360.1303415498183</v>
      </c>
    </row>
    <row r="14" spans="1:52" x14ac:dyDescent="0.3">
      <c r="A14">
        <v>1</v>
      </c>
      <c r="C14">
        <v>6</v>
      </c>
      <c r="D14">
        <v>12.5</v>
      </c>
      <c r="E14">
        <v>25</v>
      </c>
      <c r="F14">
        <v>12.5</v>
      </c>
      <c r="G14">
        <v>25</v>
      </c>
      <c r="H14">
        <v>5</v>
      </c>
      <c r="I14">
        <f t="shared" si="6"/>
        <v>50</v>
      </c>
      <c r="J14">
        <f t="shared" si="7"/>
        <v>22</v>
      </c>
      <c r="K14">
        <f t="shared" si="8"/>
        <v>50</v>
      </c>
      <c r="L14">
        <f t="shared" si="9"/>
        <v>22</v>
      </c>
      <c r="M14">
        <f t="shared" si="10"/>
        <v>125</v>
      </c>
      <c r="N14">
        <f t="shared" si="11"/>
        <v>625</v>
      </c>
      <c r="O14">
        <f t="shared" si="12"/>
        <v>550</v>
      </c>
      <c r="P14">
        <f t="shared" si="13"/>
        <v>625</v>
      </c>
      <c r="Q14">
        <f t="shared" si="14"/>
        <v>550</v>
      </c>
      <c r="R14">
        <f t="shared" si="15"/>
        <v>625</v>
      </c>
      <c r="S14">
        <f t="shared" si="26"/>
        <v>3.912023005428146</v>
      </c>
      <c r="T14">
        <f t="shared" si="27"/>
        <v>3.0910424533583161</v>
      </c>
      <c r="U14">
        <f t="shared" si="28"/>
        <v>3.912023005428146</v>
      </c>
      <c r="V14">
        <f t="shared" si="29"/>
        <v>3.0910424533583161</v>
      </c>
      <c r="W14">
        <f t="shared" si="30"/>
        <v>4.8283137373023015</v>
      </c>
      <c r="X14">
        <f t="shared" si="16"/>
        <v>46.518645041551693</v>
      </c>
      <c r="Y14">
        <f t="shared" si="17"/>
        <v>29.543144530960181</v>
      </c>
      <c r="Z14">
        <f t="shared" si="18"/>
        <v>62.080755897172644</v>
      </c>
      <c r="AA14">
        <f t="shared" si="19"/>
        <v>30.687448799791987</v>
      </c>
      <c r="AB14">
        <f t="shared" si="20"/>
        <v>100.15771814824211</v>
      </c>
      <c r="AC14">
        <f t="shared" si="21"/>
        <v>581.48306301939613</v>
      </c>
      <c r="AD14">
        <f t="shared" si="22"/>
        <v>738.57861327400451</v>
      </c>
      <c r="AE14">
        <f t="shared" si="23"/>
        <v>776.00944871465799</v>
      </c>
      <c r="AF14">
        <f t="shared" si="24"/>
        <v>767.18621999479967</v>
      </c>
      <c r="AG14">
        <f t="shared" si="25"/>
        <v>500.78859074121056</v>
      </c>
      <c r="AH14">
        <v>6</v>
      </c>
      <c r="AI14">
        <f ca="1"/>
        <v>25</v>
      </c>
      <c r="AJ14">
        <f ca="1"/>
        <v>22</v>
      </c>
      <c r="AK14">
        <f t="shared" ca="1" si="31"/>
        <v>550</v>
      </c>
      <c r="AL14">
        <f t="shared" ca="1" si="32"/>
        <v>30.687448799791987</v>
      </c>
      <c r="AM14">
        <f t="shared" ca="1" si="33"/>
        <v>767.18621999479967</v>
      </c>
      <c r="AN14">
        <v>3.5</v>
      </c>
      <c r="AO14">
        <f t="shared" ca="1" si="34"/>
        <v>407.3271641320876</v>
      </c>
    </row>
    <row r="15" spans="1:52" x14ac:dyDescent="0.3">
      <c r="A15">
        <v>1</v>
      </c>
      <c r="C15">
        <v>7</v>
      </c>
      <c r="D15">
        <v>15</v>
      </c>
      <c r="E15">
        <v>30</v>
      </c>
      <c r="F15">
        <v>15</v>
      </c>
      <c r="G15">
        <v>30</v>
      </c>
      <c r="H15">
        <v>6</v>
      </c>
      <c r="I15">
        <f t="shared" si="6"/>
        <v>48</v>
      </c>
      <c r="J15">
        <f t="shared" si="7"/>
        <v>18</v>
      </c>
      <c r="K15">
        <f t="shared" si="8"/>
        <v>48</v>
      </c>
      <c r="L15">
        <f t="shared" si="9"/>
        <v>18</v>
      </c>
      <c r="M15">
        <f t="shared" si="10"/>
        <v>89</v>
      </c>
      <c r="N15">
        <f t="shared" si="11"/>
        <v>720</v>
      </c>
      <c r="O15">
        <f t="shared" si="12"/>
        <v>540</v>
      </c>
      <c r="P15">
        <f t="shared" si="13"/>
        <v>720</v>
      </c>
      <c r="Q15">
        <f t="shared" si="14"/>
        <v>540</v>
      </c>
      <c r="R15">
        <f t="shared" si="15"/>
        <v>534</v>
      </c>
      <c r="S15">
        <f t="shared" si="26"/>
        <v>3.8712010109078911</v>
      </c>
      <c r="T15">
        <f t="shared" si="27"/>
        <v>2.8903717578961645</v>
      </c>
      <c r="U15">
        <f t="shared" si="28"/>
        <v>3.8712010109078911</v>
      </c>
      <c r="V15">
        <f t="shared" si="29"/>
        <v>2.8903717578961645</v>
      </c>
      <c r="W15">
        <f t="shared" si="30"/>
        <v>4.4886363697321396</v>
      </c>
      <c r="X15">
        <f t="shared" si="16"/>
        <v>41.986712570616838</v>
      </c>
      <c r="Y15">
        <f t="shared" si="17"/>
        <v>23.947207533216616</v>
      </c>
      <c r="Z15">
        <f t="shared" si="18"/>
        <v>53.166901579994004</v>
      </c>
      <c r="AA15">
        <f t="shared" si="19"/>
        <v>22.507615916496157</v>
      </c>
      <c r="AB15">
        <f t="shared" si="20"/>
        <v>93.293097657543655</v>
      </c>
      <c r="AC15">
        <f t="shared" si="21"/>
        <v>629.80068855925254</v>
      </c>
      <c r="AD15">
        <f t="shared" si="22"/>
        <v>718.4162259964985</v>
      </c>
      <c r="AE15">
        <f t="shared" si="23"/>
        <v>797.50352369991003</v>
      </c>
      <c r="AF15">
        <f t="shared" si="24"/>
        <v>675.22847749488471</v>
      </c>
      <c r="AG15">
        <f t="shared" si="25"/>
        <v>559.75858594526198</v>
      </c>
      <c r="AH15">
        <v>7</v>
      </c>
      <c r="AI15">
        <f ca="1"/>
        <v>30</v>
      </c>
      <c r="AJ15">
        <f ca="1"/>
        <v>18</v>
      </c>
      <c r="AK15">
        <f t="shared" ca="1" si="31"/>
        <v>540</v>
      </c>
      <c r="AL15">
        <f t="shared" ca="1" si="32"/>
        <v>22.507615916496157</v>
      </c>
      <c r="AM15">
        <f t="shared" ca="1" si="33"/>
        <v>675.22847749488471</v>
      </c>
      <c r="AN15">
        <v>4</v>
      </c>
      <c r="AO15">
        <f t="shared" ca="1" si="34"/>
        <v>451.30712671587213</v>
      </c>
    </row>
    <row r="16" spans="1:52" x14ac:dyDescent="0.3">
      <c r="A16">
        <v>1</v>
      </c>
      <c r="C16">
        <v>8</v>
      </c>
      <c r="D16">
        <v>17.5</v>
      </c>
      <c r="E16">
        <v>35</v>
      </c>
      <c r="F16">
        <v>17.5</v>
      </c>
      <c r="G16">
        <v>35</v>
      </c>
      <c r="H16">
        <v>7</v>
      </c>
      <c r="I16">
        <f t="shared" si="6"/>
        <v>39</v>
      </c>
      <c r="J16">
        <f t="shared" si="7"/>
        <v>17</v>
      </c>
      <c r="K16">
        <f t="shared" si="8"/>
        <v>39</v>
      </c>
      <c r="L16">
        <f t="shared" si="9"/>
        <v>17</v>
      </c>
      <c r="M16">
        <f t="shared" si="10"/>
        <v>87</v>
      </c>
      <c r="N16">
        <f t="shared" si="11"/>
        <v>682.5</v>
      </c>
      <c r="O16">
        <f t="shared" si="12"/>
        <v>595</v>
      </c>
      <c r="P16">
        <f t="shared" si="13"/>
        <v>682.5</v>
      </c>
      <c r="Q16">
        <f t="shared" si="14"/>
        <v>595</v>
      </c>
      <c r="R16">
        <f t="shared" si="15"/>
        <v>609</v>
      </c>
      <c r="S16">
        <f t="shared" si="26"/>
        <v>3.6635616461296463</v>
      </c>
      <c r="T16">
        <f t="shared" si="27"/>
        <v>2.8332133440562162</v>
      </c>
      <c r="U16">
        <f t="shared" si="28"/>
        <v>3.6635616461296463</v>
      </c>
      <c r="V16">
        <f t="shared" si="29"/>
        <v>2.8332133440562162</v>
      </c>
      <c r="W16">
        <f t="shared" si="30"/>
        <v>4.4659081186545837</v>
      </c>
      <c r="X16">
        <f t="shared" si="16"/>
        <v>37.896289346195239</v>
      </c>
      <c r="Y16">
        <f t="shared" si="17"/>
        <v>19.41122916140397</v>
      </c>
      <c r="Z16">
        <f t="shared" si="18"/>
        <v>45.532941452884373</v>
      </c>
      <c r="AA16">
        <f t="shared" si="19"/>
        <v>16.508142385819472</v>
      </c>
      <c r="AB16">
        <f t="shared" si="20"/>
        <v>86.898965266539847</v>
      </c>
      <c r="AC16">
        <f t="shared" si="21"/>
        <v>663.18506355841669</v>
      </c>
      <c r="AD16">
        <f t="shared" si="22"/>
        <v>679.39302064913898</v>
      </c>
      <c r="AE16">
        <f t="shared" si="23"/>
        <v>796.82647542547647</v>
      </c>
      <c r="AF16">
        <f t="shared" si="24"/>
        <v>577.78498350368147</v>
      </c>
      <c r="AG16">
        <f t="shared" si="25"/>
        <v>608.29275686577898</v>
      </c>
      <c r="AH16">
        <v>8</v>
      </c>
      <c r="AI16">
        <f ca="1"/>
        <v>35</v>
      </c>
      <c r="AJ16">
        <f ca="1"/>
        <v>17</v>
      </c>
      <c r="AK16">
        <f t="shared" ca="1" si="31"/>
        <v>595</v>
      </c>
      <c r="AL16">
        <f t="shared" ca="1" si="32"/>
        <v>16.508142385819472</v>
      </c>
      <c r="AM16">
        <f t="shared" ca="1" si="33"/>
        <v>577.78498350368147</v>
      </c>
      <c r="AN16">
        <v>4.5</v>
      </c>
      <c r="AO16">
        <f t="shared" ca="1" si="34"/>
        <v>492.22263971943539</v>
      </c>
      <c r="AX16" t="s">
        <v>82</v>
      </c>
      <c r="AY16" s="111">
        <f>MAX('données + numéro d''équipe'!A2:A155)</f>
        <v>3000</v>
      </c>
      <c r="AZ16">
        <f>ABS(AY16-'a) à d)'!E11)</f>
        <v>0</v>
      </c>
    </row>
    <row r="17" spans="1:58" x14ac:dyDescent="0.3">
      <c r="A17">
        <v>1</v>
      </c>
      <c r="C17">
        <v>9</v>
      </c>
      <c r="D17">
        <v>20</v>
      </c>
      <c r="E17">
        <v>40</v>
      </c>
      <c r="F17">
        <v>20</v>
      </c>
      <c r="G17">
        <v>40</v>
      </c>
      <c r="H17">
        <v>8</v>
      </c>
      <c r="I17">
        <f t="shared" si="6"/>
        <v>39</v>
      </c>
      <c r="J17">
        <f t="shared" si="7"/>
        <v>17</v>
      </c>
      <c r="K17">
        <f t="shared" si="8"/>
        <v>39</v>
      </c>
      <c r="L17">
        <f t="shared" si="9"/>
        <v>17</v>
      </c>
      <c r="M17">
        <f t="shared" si="10"/>
        <v>83</v>
      </c>
      <c r="N17">
        <f t="shared" si="11"/>
        <v>780</v>
      </c>
      <c r="O17">
        <f t="shared" si="12"/>
        <v>680</v>
      </c>
      <c r="P17">
        <f t="shared" si="13"/>
        <v>780</v>
      </c>
      <c r="Q17">
        <f t="shared" si="14"/>
        <v>680</v>
      </c>
      <c r="R17">
        <f t="shared" si="15"/>
        <v>664</v>
      </c>
      <c r="S17">
        <f t="shared" si="26"/>
        <v>3.6635616461296463</v>
      </c>
      <c r="T17">
        <f t="shared" si="27"/>
        <v>2.8332133440562162</v>
      </c>
      <c r="U17">
        <f t="shared" si="28"/>
        <v>3.6635616461296463</v>
      </c>
      <c r="V17">
        <f t="shared" si="29"/>
        <v>2.8332133440562162</v>
      </c>
      <c r="W17">
        <f t="shared" si="30"/>
        <v>4.4188406077965983</v>
      </c>
      <c r="X17">
        <f t="shared" si="16"/>
        <v>34.20436272059041</v>
      </c>
      <c r="Y17">
        <f t="shared" si="17"/>
        <v>15.734436553151147</v>
      </c>
      <c r="Z17">
        <f t="shared" si="18"/>
        <v>38.995102135722952</v>
      </c>
      <c r="AA17">
        <f t="shared" si="19"/>
        <v>12.107846785796468</v>
      </c>
      <c r="AB17">
        <f t="shared" si="20"/>
        <v>80.94307461110111</v>
      </c>
      <c r="AC17">
        <f t="shared" si="21"/>
        <v>684.0872544118082</v>
      </c>
      <c r="AD17">
        <f t="shared" si="22"/>
        <v>629.37746212604588</v>
      </c>
      <c r="AE17">
        <f t="shared" si="23"/>
        <v>779.90204271445907</v>
      </c>
      <c r="AF17">
        <f t="shared" si="24"/>
        <v>484.31387143185873</v>
      </c>
      <c r="AG17">
        <f t="shared" si="25"/>
        <v>647.54459688880888</v>
      </c>
      <c r="AH17">
        <v>9</v>
      </c>
      <c r="AI17">
        <f ca="1"/>
        <v>40</v>
      </c>
      <c r="AJ17">
        <f ca="1"/>
        <v>17</v>
      </c>
      <c r="AK17">
        <f t="shared" ca="1" si="31"/>
        <v>680</v>
      </c>
      <c r="AL17">
        <f t="shared" ca="1" si="32"/>
        <v>12.107846785796468</v>
      </c>
      <c r="AM17">
        <f t="shared" ca="1" si="33"/>
        <v>484.31387143185873</v>
      </c>
      <c r="AN17">
        <v>5</v>
      </c>
      <c r="AO17">
        <f t="shared" ca="1" si="34"/>
        <v>530.21980635888201</v>
      </c>
      <c r="AX17" t="s">
        <v>83</v>
      </c>
      <c r="AY17" s="111">
        <f>AVERAGE('a) à d)'!A2:A155)</f>
        <v>33.015974025974025</v>
      </c>
      <c r="AZ17">
        <f>ABS(AY17-'a) à d)'!E14)</f>
        <v>0</v>
      </c>
    </row>
    <row r="18" spans="1:58" x14ac:dyDescent="0.3">
      <c r="A18">
        <v>2</v>
      </c>
      <c r="C18">
        <v>10</v>
      </c>
      <c r="D18">
        <v>22.5</v>
      </c>
      <c r="E18">
        <v>45</v>
      </c>
      <c r="F18">
        <v>22.5</v>
      </c>
      <c r="G18">
        <v>45</v>
      </c>
      <c r="H18">
        <v>9</v>
      </c>
      <c r="I18">
        <f t="shared" si="6"/>
        <v>25</v>
      </c>
      <c r="J18">
        <f t="shared" si="7"/>
        <v>11</v>
      </c>
      <c r="K18">
        <f t="shared" si="8"/>
        <v>25</v>
      </c>
      <c r="L18">
        <f t="shared" si="9"/>
        <v>11</v>
      </c>
      <c r="M18">
        <f t="shared" si="10"/>
        <v>81</v>
      </c>
      <c r="N18">
        <f t="shared" si="11"/>
        <v>562.5</v>
      </c>
      <c r="O18">
        <f t="shared" si="12"/>
        <v>495</v>
      </c>
      <c r="P18">
        <f t="shared" si="13"/>
        <v>562.5</v>
      </c>
      <c r="Q18">
        <f t="shared" si="14"/>
        <v>495</v>
      </c>
      <c r="R18">
        <f t="shared" si="15"/>
        <v>729</v>
      </c>
      <c r="S18">
        <f t="shared" si="26"/>
        <v>3.2188758248682006</v>
      </c>
      <c r="T18">
        <f t="shared" si="27"/>
        <v>2.3978952727983707</v>
      </c>
      <c r="U18">
        <f t="shared" si="28"/>
        <v>3.2188758248682006</v>
      </c>
      <c r="V18">
        <f t="shared" si="29"/>
        <v>2.3978952727983707</v>
      </c>
      <c r="W18">
        <f t="shared" si="30"/>
        <v>4.3944491546724391</v>
      </c>
      <c r="X18">
        <f t="shared" si="16"/>
        <v>30.872110417828438</v>
      </c>
      <c r="Y18">
        <f t="shared" si="17"/>
        <v>12.754086389201772</v>
      </c>
      <c r="Z18">
        <f t="shared" si="18"/>
        <v>33.395997316556809</v>
      </c>
      <c r="AA18">
        <f t="shared" si="19"/>
        <v>8.8804633714724623</v>
      </c>
      <c r="AB18">
        <f t="shared" si="20"/>
        <v>75.3953894318811</v>
      </c>
      <c r="AC18">
        <f t="shared" si="21"/>
        <v>694.6224844011399</v>
      </c>
      <c r="AD18">
        <f t="shared" si="22"/>
        <v>573.93388751407974</v>
      </c>
      <c r="AE18">
        <f t="shared" si="23"/>
        <v>751.40993962252821</v>
      </c>
      <c r="AF18">
        <f t="shared" si="24"/>
        <v>399.6208517162608</v>
      </c>
      <c r="AG18">
        <f t="shared" si="25"/>
        <v>678.55850488692988</v>
      </c>
      <c r="AH18">
        <v>10</v>
      </c>
      <c r="AI18">
        <f ca="1"/>
        <v>45</v>
      </c>
      <c r="AJ18">
        <f ca="1"/>
        <v>11</v>
      </c>
      <c r="AK18">
        <f t="shared" ca="1" si="31"/>
        <v>495</v>
      </c>
      <c r="AL18">
        <f t="shared" ca="1" si="32"/>
        <v>8.8804633714724623</v>
      </c>
      <c r="AM18">
        <f t="shared" ca="1" si="33"/>
        <v>399.6208517162608</v>
      </c>
      <c r="AN18">
        <v>5.5</v>
      </c>
      <c r="AO18">
        <f t="shared" ca="1" si="34"/>
        <v>565.43866568864041</v>
      </c>
      <c r="AX18" t="s">
        <v>84</v>
      </c>
      <c r="AY18">
        <v>1</v>
      </c>
      <c r="AZ18">
        <v>3</v>
      </c>
      <c r="BA18">
        <f>ABS(AY18-'a) à d)'!I20)</f>
        <v>0</v>
      </c>
      <c r="BB18">
        <f>ABS(AZ18-'a) à d)'!I21)</f>
        <v>0</v>
      </c>
    </row>
    <row r="19" spans="1:58" x14ac:dyDescent="0.3">
      <c r="A19">
        <v>2</v>
      </c>
      <c r="C19">
        <v>11</v>
      </c>
      <c r="D19">
        <v>25</v>
      </c>
      <c r="E19">
        <v>50</v>
      </c>
      <c r="F19">
        <v>25</v>
      </c>
      <c r="G19">
        <v>50</v>
      </c>
      <c r="H19">
        <v>10</v>
      </c>
      <c r="I19">
        <f t="shared" si="6"/>
        <v>22</v>
      </c>
      <c r="J19">
        <f t="shared" si="7"/>
        <v>11</v>
      </c>
      <c r="K19">
        <f t="shared" si="8"/>
        <v>22</v>
      </c>
      <c r="L19">
        <f t="shared" si="9"/>
        <v>11</v>
      </c>
      <c r="M19">
        <f t="shared" si="10"/>
        <v>80</v>
      </c>
      <c r="N19">
        <f t="shared" si="11"/>
        <v>550</v>
      </c>
      <c r="O19">
        <f t="shared" si="12"/>
        <v>550</v>
      </c>
      <c r="P19">
        <f t="shared" si="13"/>
        <v>550</v>
      </c>
      <c r="Q19">
        <f t="shared" si="14"/>
        <v>550</v>
      </c>
      <c r="R19">
        <f t="shared" si="15"/>
        <v>800</v>
      </c>
      <c r="S19">
        <f t="shared" si="26"/>
        <v>3.0910424533583161</v>
      </c>
      <c r="T19">
        <f t="shared" si="27"/>
        <v>2.3978952727983707</v>
      </c>
      <c r="U19">
        <f t="shared" si="28"/>
        <v>3.0910424533583161</v>
      </c>
      <c r="V19">
        <f t="shared" si="29"/>
        <v>2.3978952727983707</v>
      </c>
      <c r="W19">
        <f t="shared" si="30"/>
        <v>4.3820266346738812</v>
      </c>
      <c r="X19">
        <f t="shared" si="16"/>
        <v>27.864492299891605</v>
      </c>
      <c r="Y19">
        <f t="shared" si="17"/>
        <v>10.338261498829745</v>
      </c>
      <c r="Z19">
        <f t="shared" si="18"/>
        <v>28.600838969101279</v>
      </c>
      <c r="AA19">
        <f t="shared" si="19"/>
        <v>6.5133488296677671</v>
      </c>
      <c r="AB19">
        <f t="shared" si="20"/>
        <v>70.227932097916636</v>
      </c>
      <c r="AC19">
        <f t="shared" si="21"/>
        <v>696.61230749729009</v>
      </c>
      <c r="AD19">
        <f t="shared" si="22"/>
        <v>516.91307494148725</v>
      </c>
      <c r="AE19">
        <f t="shared" si="23"/>
        <v>715.02097422753195</v>
      </c>
      <c r="AF19">
        <f t="shared" si="24"/>
        <v>325.66744148338836</v>
      </c>
      <c r="AG19">
        <f t="shared" si="25"/>
        <v>702.27932097916641</v>
      </c>
      <c r="AH19">
        <v>11</v>
      </c>
      <c r="AI19">
        <f ca="1"/>
        <v>50</v>
      </c>
      <c r="AJ19">
        <f ca="1"/>
        <v>11</v>
      </c>
      <c r="AK19">
        <f t="shared" ca="1" si="31"/>
        <v>550</v>
      </c>
      <c r="AL19">
        <f t="shared" ca="1" si="32"/>
        <v>6.5133488296677671</v>
      </c>
      <c r="AM19">
        <f t="shared" ca="1" si="33"/>
        <v>325.66744148338836</v>
      </c>
      <c r="AN19">
        <v>6</v>
      </c>
      <c r="AO19">
        <f t="shared" ca="1" si="34"/>
        <v>598.01342668127791</v>
      </c>
      <c r="AX19" t="s">
        <v>89</v>
      </c>
      <c r="AY19">
        <v>125</v>
      </c>
      <c r="AZ19">
        <v>625</v>
      </c>
      <c r="BA19">
        <f>ABS(AY19-'a) à d)'!D25)</f>
        <v>0</v>
      </c>
      <c r="BB19">
        <f>ABS(AZ19-'a) à d)'!E25)</f>
        <v>0</v>
      </c>
      <c r="BC19">
        <v>15</v>
      </c>
    </row>
    <row r="20" spans="1:58" x14ac:dyDescent="0.3">
      <c r="A20">
        <v>2</v>
      </c>
      <c r="C20">
        <v>12</v>
      </c>
      <c r="D20">
        <v>27.5</v>
      </c>
      <c r="E20">
        <v>55</v>
      </c>
      <c r="F20">
        <v>27.5</v>
      </c>
      <c r="G20">
        <v>55</v>
      </c>
      <c r="H20">
        <v>11</v>
      </c>
      <c r="I20">
        <f t="shared" si="6"/>
        <v>18</v>
      </c>
      <c r="J20">
        <f t="shared" si="7"/>
        <v>3</v>
      </c>
      <c r="K20">
        <f t="shared" si="8"/>
        <v>18</v>
      </c>
      <c r="L20">
        <f t="shared" si="9"/>
        <v>3</v>
      </c>
      <c r="M20">
        <f t="shared" si="10"/>
        <v>51</v>
      </c>
      <c r="N20">
        <f t="shared" si="11"/>
        <v>495</v>
      </c>
      <c r="O20">
        <f t="shared" si="12"/>
        <v>165</v>
      </c>
      <c r="P20">
        <f t="shared" si="13"/>
        <v>495</v>
      </c>
      <c r="Q20">
        <f t="shared" si="14"/>
        <v>165</v>
      </c>
      <c r="R20">
        <f t="shared" si="15"/>
        <v>561</v>
      </c>
      <c r="S20">
        <f t="shared" si="26"/>
        <v>2.8903717578961645</v>
      </c>
      <c r="T20">
        <f t="shared" si="27"/>
        <v>1.0986122886681098</v>
      </c>
      <c r="U20">
        <f t="shared" si="28"/>
        <v>2.8903717578961645</v>
      </c>
      <c r="V20">
        <f t="shared" si="29"/>
        <v>1.0986122886681098</v>
      </c>
      <c r="W20">
        <f t="shared" si="30"/>
        <v>3.9318256327243257</v>
      </c>
      <c r="X20">
        <f t="shared" si="16"/>
        <v>25.149881903840811</v>
      </c>
      <c r="Y20">
        <f t="shared" si="17"/>
        <v>8.3800319016715257</v>
      </c>
      <c r="Z20">
        <f t="shared" si="18"/>
        <v>24.494192581903125</v>
      </c>
      <c r="AA20">
        <f t="shared" si="19"/>
        <v>4.7771958739468605</v>
      </c>
      <c r="AB20">
        <f t="shared" si="20"/>
        <v>65.414642512133497</v>
      </c>
      <c r="AC20">
        <f t="shared" si="21"/>
        <v>691.62175235562233</v>
      </c>
      <c r="AD20">
        <f t="shared" si="22"/>
        <v>460.90175459193392</v>
      </c>
      <c r="AE20">
        <f t="shared" si="23"/>
        <v>673.59029600233589</v>
      </c>
      <c r="AF20">
        <f t="shared" si="24"/>
        <v>262.74577306707732</v>
      </c>
      <c r="AG20">
        <f t="shared" si="25"/>
        <v>719.5610676334685</v>
      </c>
      <c r="AH20">
        <v>12</v>
      </c>
      <c r="AI20">
        <f ca="1"/>
        <v>55</v>
      </c>
      <c r="AJ20">
        <f ca="1"/>
        <v>3</v>
      </c>
      <c r="AK20">
        <f t="shared" ca="1" si="31"/>
        <v>165</v>
      </c>
      <c r="AL20">
        <f t="shared" ca="1" si="32"/>
        <v>4.7771958739468605</v>
      </c>
      <c r="AM20">
        <f t="shared" ca="1" si="33"/>
        <v>262.74577306707732</v>
      </c>
      <c r="AN20">
        <v>6.5</v>
      </c>
      <c r="AO20">
        <f t="shared" ca="1" si="34"/>
        <v>628.07269366723904</v>
      </c>
      <c r="AY20">
        <v>48</v>
      </c>
      <c r="AZ20">
        <v>720</v>
      </c>
      <c r="BA20">
        <f>ABS(AY20-'a) à d)'!D26)</f>
        <v>0</v>
      </c>
      <c r="BB20">
        <f>ABS(AZ20-'a) à d)'!E26)</f>
        <v>0</v>
      </c>
      <c r="BC20">
        <f>ABS(BC19-'a) à d)'!E31)</f>
        <v>0</v>
      </c>
    </row>
    <row r="21" spans="1:58" x14ac:dyDescent="0.3">
      <c r="A21">
        <v>2</v>
      </c>
      <c r="C21">
        <v>13</v>
      </c>
      <c r="D21">
        <v>30</v>
      </c>
      <c r="E21">
        <v>60</v>
      </c>
      <c r="F21">
        <v>30</v>
      </c>
      <c r="G21">
        <v>60</v>
      </c>
      <c r="H21">
        <v>12</v>
      </c>
      <c r="I21">
        <f t="shared" si="6"/>
        <v>18</v>
      </c>
      <c r="J21">
        <f t="shared" si="7"/>
        <v>3</v>
      </c>
      <c r="K21">
        <f t="shared" si="8"/>
        <v>18</v>
      </c>
      <c r="L21">
        <f t="shared" si="9"/>
        <v>3</v>
      </c>
      <c r="M21">
        <f t="shared" si="10"/>
        <v>50</v>
      </c>
      <c r="N21">
        <f t="shared" si="11"/>
        <v>540</v>
      </c>
      <c r="O21">
        <f t="shared" si="12"/>
        <v>180</v>
      </c>
      <c r="P21">
        <f t="shared" si="13"/>
        <v>540</v>
      </c>
      <c r="Q21">
        <f t="shared" si="14"/>
        <v>180</v>
      </c>
      <c r="R21">
        <f t="shared" si="15"/>
        <v>600</v>
      </c>
      <c r="S21">
        <f t="shared" si="26"/>
        <v>2.8903717578961645</v>
      </c>
      <c r="T21">
        <f t="shared" si="27"/>
        <v>1.0986122886681098</v>
      </c>
      <c r="U21">
        <f t="shared" si="28"/>
        <v>2.8903717578961645</v>
      </c>
      <c r="V21">
        <f t="shared" si="29"/>
        <v>1.0986122886681098</v>
      </c>
      <c r="W21">
        <f t="shared" si="30"/>
        <v>3.912023005428146</v>
      </c>
      <c r="X21">
        <f t="shared" si="16"/>
        <v>22.699733875273225</v>
      </c>
      <c r="Y21">
        <f t="shared" si="17"/>
        <v>6.7927218402225273</v>
      </c>
      <c r="Z21">
        <f t="shared" si="18"/>
        <v>20.977198287348379</v>
      </c>
      <c r="AA21">
        <f t="shared" si="19"/>
        <v>3.5038197730335598</v>
      </c>
      <c r="AB21">
        <f t="shared" si="20"/>
        <v>60.931246687201892</v>
      </c>
      <c r="AC21">
        <f t="shared" si="21"/>
        <v>680.99201625819671</v>
      </c>
      <c r="AD21">
        <f t="shared" si="22"/>
        <v>407.56331041335164</v>
      </c>
      <c r="AE21">
        <f t="shared" si="23"/>
        <v>629.31594862045142</v>
      </c>
      <c r="AF21">
        <f t="shared" si="24"/>
        <v>210.22918638201358</v>
      </c>
      <c r="AG21">
        <f t="shared" si="25"/>
        <v>731.17496024642264</v>
      </c>
      <c r="AH21">
        <v>13</v>
      </c>
      <c r="AI21">
        <f ca="1"/>
        <v>60</v>
      </c>
      <c r="AJ21">
        <f ca="1"/>
        <v>3</v>
      </c>
      <c r="AK21">
        <f t="shared" ca="1" si="31"/>
        <v>180</v>
      </c>
      <c r="AL21">
        <f t="shared" ca="1" si="32"/>
        <v>3.5038197730335598</v>
      </c>
      <c r="AM21">
        <f t="shared" ca="1" si="33"/>
        <v>210.22918638201358</v>
      </c>
      <c r="AN21">
        <v>7</v>
      </c>
      <c r="AO21">
        <f t="shared" ca="1" si="34"/>
        <v>655.73968344386913</v>
      </c>
      <c r="AY21">
        <v>22</v>
      </c>
      <c r="AZ21">
        <v>550</v>
      </c>
      <c r="BA21">
        <f>ABS(AY21-'a) à d)'!D27)</f>
        <v>0</v>
      </c>
      <c r="BB21">
        <f>ABS(AZ21-'a) à d)'!E27)</f>
        <v>0</v>
      </c>
    </row>
    <row r="22" spans="1:58" x14ac:dyDescent="0.3">
      <c r="A22">
        <v>2</v>
      </c>
      <c r="C22">
        <v>14</v>
      </c>
      <c r="D22">
        <v>32.5</v>
      </c>
      <c r="E22">
        <v>65</v>
      </c>
      <c r="F22">
        <v>32.5</v>
      </c>
      <c r="H22">
        <v>13</v>
      </c>
      <c r="I22">
        <f t="shared" si="6"/>
        <v>17</v>
      </c>
      <c r="J22">
        <f t="shared" si="7"/>
        <v>3</v>
      </c>
      <c r="K22">
        <f t="shared" si="8"/>
        <v>17</v>
      </c>
      <c r="L22" t="str">
        <f t="shared" si="9"/>
        <v/>
      </c>
      <c r="M22">
        <f t="shared" si="10"/>
        <v>49</v>
      </c>
      <c r="N22">
        <f t="shared" si="11"/>
        <v>552.5</v>
      </c>
      <c r="O22">
        <f t="shared" si="12"/>
        <v>195</v>
      </c>
      <c r="P22">
        <f t="shared" si="13"/>
        <v>552.5</v>
      </c>
      <c r="Q22" t="str">
        <f t="shared" si="14"/>
        <v/>
      </c>
      <c r="R22">
        <f t="shared" si="15"/>
        <v>637</v>
      </c>
      <c r="S22">
        <f t="shared" si="26"/>
        <v>2.8332133440562162</v>
      </c>
      <c r="T22">
        <f t="shared" si="27"/>
        <v>1.0986122886681098</v>
      </c>
      <c r="U22">
        <f t="shared" si="28"/>
        <v>2.8332133440562162</v>
      </c>
      <c r="V22" t="str">
        <f t="shared" si="29"/>
        <v/>
      </c>
      <c r="W22">
        <f t="shared" si="30"/>
        <v>3.8918202981106265</v>
      </c>
      <c r="X22">
        <f t="shared" si="16"/>
        <v>20.488283801027915</v>
      </c>
      <c r="Y22">
        <f t="shared" si="17"/>
        <v>5.506073310941999</v>
      </c>
      <c r="Z22">
        <f t="shared" si="18"/>
        <v>17.96519099436841</v>
      </c>
      <c r="AA22" t="str">
        <f t="shared" si="19"/>
        <v/>
      </c>
      <c r="AB22">
        <f t="shared" si="20"/>
        <v>56.755134328954149</v>
      </c>
      <c r="AC22">
        <f t="shared" si="21"/>
        <v>665.86922353340719</v>
      </c>
      <c r="AD22">
        <f t="shared" si="22"/>
        <v>357.89476521122992</v>
      </c>
      <c r="AE22">
        <f t="shared" si="23"/>
        <v>583.86870731697331</v>
      </c>
      <c r="AF22" t="str">
        <f t="shared" si="24"/>
        <v/>
      </c>
      <c r="AG22">
        <f t="shared" si="25"/>
        <v>737.81674627640393</v>
      </c>
      <c r="AH22">
        <v>14</v>
      </c>
      <c r="AI22" t="e">
        <f ca="1"/>
        <v>#N/A</v>
      </c>
      <c r="AJ22" t="e">
        <f ca="1"/>
        <v>#N/A</v>
      </c>
      <c r="AK22" t="e">
        <f t="shared" ca="1" si="31"/>
        <v>#N/A</v>
      </c>
      <c r="AL22" t="e">
        <f t="shared" ca="1" si="32"/>
        <v>#N/A</v>
      </c>
      <c r="AM22" t="e">
        <f t="shared" ca="1" si="33"/>
        <v>#N/A</v>
      </c>
      <c r="AN22">
        <v>7.5</v>
      </c>
      <c r="AO22">
        <f t="shared" ca="1" si="34"/>
        <v>681.13243435225388</v>
      </c>
      <c r="AY22">
        <v>17</v>
      </c>
      <c r="AZ22">
        <v>595</v>
      </c>
      <c r="BA22">
        <f>ABS(AY22-'a) à d)'!D28)</f>
        <v>0</v>
      </c>
      <c r="BB22">
        <f>ABS(AZ22-'a) à d)'!E28)</f>
        <v>0</v>
      </c>
    </row>
    <row r="23" spans="1:58" x14ac:dyDescent="0.3">
      <c r="A23">
        <v>2</v>
      </c>
      <c r="C23">
        <v>15</v>
      </c>
      <c r="D23">
        <v>35</v>
      </c>
      <c r="E23">
        <v>70</v>
      </c>
      <c r="F23">
        <v>35</v>
      </c>
      <c r="H23">
        <v>14</v>
      </c>
      <c r="I23">
        <f t="shared" si="6"/>
        <v>17</v>
      </c>
      <c r="J23">
        <f t="shared" si="7"/>
        <v>3</v>
      </c>
      <c r="K23">
        <f t="shared" si="8"/>
        <v>17</v>
      </c>
      <c r="L23" t="str">
        <f t="shared" si="9"/>
        <v/>
      </c>
      <c r="M23">
        <f t="shared" si="10"/>
        <v>48</v>
      </c>
      <c r="N23">
        <f t="shared" si="11"/>
        <v>595</v>
      </c>
      <c r="O23">
        <f t="shared" si="12"/>
        <v>210</v>
      </c>
      <c r="P23">
        <f t="shared" si="13"/>
        <v>595</v>
      </c>
      <c r="Q23" t="str">
        <f t="shared" si="14"/>
        <v/>
      </c>
      <c r="R23">
        <f t="shared" si="15"/>
        <v>672</v>
      </c>
      <c r="S23">
        <f t="shared" si="26"/>
        <v>2.8332133440562162</v>
      </c>
      <c r="T23">
        <f t="shared" si="27"/>
        <v>1.0986122886681098</v>
      </c>
      <c r="U23">
        <f t="shared" si="28"/>
        <v>2.8332133440562162</v>
      </c>
      <c r="V23" t="str">
        <f t="shared" si="29"/>
        <v/>
      </c>
      <c r="W23">
        <f t="shared" si="30"/>
        <v>3.8712010109078911</v>
      </c>
      <c r="X23">
        <f t="shared" si="16"/>
        <v>18.49227728474461</v>
      </c>
      <c r="Y23">
        <f t="shared" si="17"/>
        <v>4.4631362830064898</v>
      </c>
      <c r="Z23">
        <f t="shared" si="18"/>
        <v>15.385662233969041</v>
      </c>
      <c r="AA23" t="str">
        <f t="shared" si="19"/>
        <v/>
      </c>
      <c r="AB23">
        <f t="shared" si="20"/>
        <v>52.86524481000329</v>
      </c>
      <c r="AC23">
        <f t="shared" si="21"/>
        <v>647.22970496606138</v>
      </c>
      <c r="AD23">
        <f t="shared" si="22"/>
        <v>312.4195398104543</v>
      </c>
      <c r="AE23">
        <f t="shared" si="23"/>
        <v>538.49817818891643</v>
      </c>
      <c r="AF23" t="str">
        <f t="shared" si="24"/>
        <v/>
      </c>
      <c r="AG23">
        <f t="shared" si="25"/>
        <v>740.11342734004609</v>
      </c>
      <c r="AH23">
        <v>15</v>
      </c>
      <c r="AI23" t="e">
        <f ca="1"/>
        <v>#N/A</v>
      </c>
      <c r="AJ23" t="e">
        <f ca="1"/>
        <v>#N/A</v>
      </c>
      <c r="AK23" t="e">
        <f t="shared" ca="1" si="31"/>
        <v>#N/A</v>
      </c>
      <c r="AL23" t="e">
        <f t="shared" ca="1" si="32"/>
        <v>#N/A</v>
      </c>
      <c r="AM23" t="e">
        <f t="shared" ca="1" si="33"/>
        <v>#N/A</v>
      </c>
      <c r="AN23">
        <v>8</v>
      </c>
      <c r="AO23">
        <f t="shared" ca="1" si="34"/>
        <v>704.36400760994115</v>
      </c>
      <c r="AX23" t="s">
        <v>91</v>
      </c>
      <c r="AY23" t="s">
        <v>66</v>
      </c>
      <c r="AZ23">
        <f>X1</f>
        <v>4</v>
      </c>
      <c r="BA23">
        <f>MAX(BA19:BA22)</f>
        <v>0</v>
      </c>
      <c r="BB23">
        <f>MAX(BB19:BB22)</f>
        <v>0</v>
      </c>
    </row>
    <row r="24" spans="1:58" x14ac:dyDescent="0.3">
      <c r="A24">
        <v>2</v>
      </c>
      <c r="C24">
        <v>16</v>
      </c>
      <c r="D24">
        <v>37.5</v>
      </c>
      <c r="E24">
        <v>75</v>
      </c>
      <c r="F24">
        <v>37.5</v>
      </c>
      <c r="H24">
        <v>15</v>
      </c>
      <c r="I24">
        <f t="shared" si="6"/>
        <v>17</v>
      </c>
      <c r="J24">
        <f t="shared" si="7"/>
        <v>3</v>
      </c>
      <c r="K24">
        <f t="shared" si="8"/>
        <v>17</v>
      </c>
      <c r="L24" t="str">
        <f t="shared" si="9"/>
        <v/>
      </c>
      <c r="M24">
        <f t="shared" si="10"/>
        <v>48</v>
      </c>
      <c r="N24">
        <f t="shared" si="11"/>
        <v>637.5</v>
      </c>
      <c r="O24">
        <f t="shared" si="12"/>
        <v>225</v>
      </c>
      <c r="P24">
        <f t="shared" si="13"/>
        <v>637.5</v>
      </c>
      <c r="Q24" t="str">
        <f t="shared" si="14"/>
        <v/>
      </c>
      <c r="R24">
        <f t="shared" si="15"/>
        <v>720</v>
      </c>
      <c r="S24">
        <f t="shared" si="26"/>
        <v>2.8332133440562162</v>
      </c>
      <c r="T24">
        <f t="shared" si="27"/>
        <v>1.0986122886681098</v>
      </c>
      <c r="U24">
        <f t="shared" si="28"/>
        <v>2.8332133440562162</v>
      </c>
      <c r="V24" t="str">
        <f t="shared" si="29"/>
        <v/>
      </c>
      <c r="W24">
        <f t="shared" si="30"/>
        <v>3.8712010109078911</v>
      </c>
      <c r="X24">
        <f t="shared" si="16"/>
        <v>16.690725416382843</v>
      </c>
      <c r="Y24">
        <f t="shared" si="17"/>
        <v>3.6177479586229992</v>
      </c>
      <c r="Z24">
        <f t="shared" si="18"/>
        <v>13.176514652807523</v>
      </c>
      <c r="AA24" t="str">
        <f t="shared" si="19"/>
        <v/>
      </c>
      <c r="AB24">
        <f t="shared" si="20"/>
        <v>49.241960958514028</v>
      </c>
      <c r="AC24">
        <f t="shared" si="21"/>
        <v>625.90220311435667</v>
      </c>
      <c r="AD24">
        <f t="shared" si="22"/>
        <v>271.33109689672494</v>
      </c>
      <c r="AE24">
        <f t="shared" si="23"/>
        <v>494.11929948028211</v>
      </c>
      <c r="AF24" t="str">
        <f t="shared" si="24"/>
        <v/>
      </c>
      <c r="AG24">
        <f t="shared" si="25"/>
        <v>738.62941437771042</v>
      </c>
      <c r="AH24">
        <v>16</v>
      </c>
      <c r="AI24" t="e">
        <f ca="1"/>
        <v>#N/A</v>
      </c>
      <c r="AJ24" t="e">
        <f ca="1"/>
        <v>#N/A</v>
      </c>
      <c r="AK24" t="e">
        <f t="shared" ca="1" si="31"/>
        <v>#N/A</v>
      </c>
      <c r="AL24" t="e">
        <f t="shared" ca="1" si="32"/>
        <v>#N/A</v>
      </c>
      <c r="AM24" t="e">
        <f t="shared" ca="1" si="33"/>
        <v>#N/A</v>
      </c>
      <c r="AN24">
        <v>8.5</v>
      </c>
      <c r="AO24">
        <f t="shared" ca="1" si="34"/>
        <v>725.54268117750985</v>
      </c>
      <c r="AY24" t="s">
        <v>104</v>
      </c>
      <c r="AZ24">
        <f ca="1">OFFSET(C6,0,AZ23,1,1)</f>
        <v>13</v>
      </c>
    </row>
    <row r="25" spans="1:58" x14ac:dyDescent="0.3">
      <c r="A25">
        <v>2</v>
      </c>
      <c r="C25">
        <v>17</v>
      </c>
      <c r="D25">
        <v>40</v>
      </c>
      <c r="E25">
        <v>80</v>
      </c>
      <c r="F25">
        <v>40</v>
      </c>
      <c r="H25">
        <v>16</v>
      </c>
      <c r="I25">
        <f t="shared" si="6"/>
        <v>17</v>
      </c>
      <c r="J25">
        <f t="shared" si="7"/>
        <v>3</v>
      </c>
      <c r="K25">
        <f t="shared" si="8"/>
        <v>17</v>
      </c>
      <c r="L25" t="str">
        <f t="shared" si="9"/>
        <v/>
      </c>
      <c r="M25">
        <f t="shared" si="10"/>
        <v>41</v>
      </c>
      <c r="N25">
        <f t="shared" si="11"/>
        <v>680</v>
      </c>
      <c r="O25">
        <f t="shared" si="12"/>
        <v>240</v>
      </c>
      <c r="P25">
        <f t="shared" si="13"/>
        <v>680</v>
      </c>
      <c r="Q25" t="str">
        <f t="shared" si="14"/>
        <v/>
      </c>
      <c r="R25">
        <f t="shared" si="15"/>
        <v>656</v>
      </c>
      <c r="S25">
        <f t="shared" si="26"/>
        <v>2.8332133440562162</v>
      </c>
      <c r="T25">
        <f t="shared" si="27"/>
        <v>1.0986122886681098</v>
      </c>
      <c r="U25">
        <f t="shared" si="28"/>
        <v>2.8332133440562162</v>
      </c>
      <c r="V25" t="str">
        <f t="shared" si="29"/>
        <v/>
      </c>
      <c r="W25">
        <f t="shared" si="30"/>
        <v>3.713572066704308</v>
      </c>
      <c r="X25">
        <f t="shared" si="16"/>
        <v>15.064684064352955</v>
      </c>
      <c r="Y25">
        <f t="shared" si="17"/>
        <v>2.9324895011506076</v>
      </c>
      <c r="Z25">
        <f t="shared" si="18"/>
        <v>11.284567134999591</v>
      </c>
      <c r="AA25" t="str">
        <f t="shared" si="19"/>
        <v/>
      </c>
      <c r="AB25">
        <f t="shared" si="20"/>
        <v>45.867010126490499</v>
      </c>
      <c r="AC25">
        <f t="shared" si="21"/>
        <v>602.58736257411817</v>
      </c>
      <c r="AD25">
        <f t="shared" si="22"/>
        <v>234.59916009204861</v>
      </c>
      <c r="AE25">
        <f t="shared" si="23"/>
        <v>451.38268539998364</v>
      </c>
      <c r="AF25" t="str">
        <f t="shared" si="24"/>
        <v/>
      </c>
      <c r="AG25">
        <f t="shared" si="25"/>
        <v>733.87216202384798</v>
      </c>
      <c r="AH25">
        <v>17</v>
      </c>
      <c r="AI25" t="e">
        <f ca="1"/>
        <v>#N/A</v>
      </c>
      <c r="AJ25" t="e">
        <f ca="1"/>
        <v>#N/A</v>
      </c>
      <c r="AK25" t="e">
        <f t="shared" ca="1" si="31"/>
        <v>#N/A</v>
      </c>
      <c r="AL25" t="e">
        <f t="shared" ca="1" si="32"/>
        <v>#N/A</v>
      </c>
      <c r="AM25" t="e">
        <f t="shared" ca="1" si="33"/>
        <v>#N/A</v>
      </c>
      <c r="AN25">
        <v>9</v>
      </c>
      <c r="AO25">
        <f t="shared" ca="1" si="34"/>
        <v>744.77213642719357</v>
      </c>
      <c r="AZ25">
        <f t="array" aca="1" ref="AZ25" ca="1">MAX(ABS(OFFSET(M9,0,AZ23,AZ24,1)-OFFSET('e) et f)'!E9,0,0,Feuil2!AZ24,1)))</f>
        <v>0</v>
      </c>
    </row>
    <row r="26" spans="1:58" x14ac:dyDescent="0.3">
      <c r="A26">
        <v>2</v>
      </c>
      <c r="C26">
        <v>18</v>
      </c>
      <c r="D26">
        <v>42.5</v>
      </c>
      <c r="E26">
        <v>85</v>
      </c>
      <c r="F26">
        <v>42.5</v>
      </c>
      <c r="H26">
        <v>17</v>
      </c>
      <c r="I26">
        <f t="shared" si="6"/>
        <v>11</v>
      </c>
      <c r="J26">
        <f t="shared" si="7"/>
        <v>3</v>
      </c>
      <c r="K26">
        <f t="shared" si="8"/>
        <v>11</v>
      </c>
      <c r="L26" t="str">
        <f t="shared" si="9"/>
        <v/>
      </c>
      <c r="M26">
        <f t="shared" si="10"/>
        <v>40</v>
      </c>
      <c r="N26">
        <f t="shared" si="11"/>
        <v>467.5</v>
      </c>
      <c r="O26">
        <f t="shared" si="12"/>
        <v>255</v>
      </c>
      <c r="P26">
        <f t="shared" si="13"/>
        <v>467.5</v>
      </c>
      <c r="Q26" t="str">
        <f t="shared" si="14"/>
        <v/>
      </c>
      <c r="R26">
        <f t="shared" si="15"/>
        <v>680</v>
      </c>
      <c r="S26">
        <f t="shared" si="26"/>
        <v>2.3978952727983707</v>
      </c>
      <c r="T26">
        <f t="shared" si="27"/>
        <v>1.0986122886681098</v>
      </c>
      <c r="U26">
        <f t="shared" si="28"/>
        <v>2.3978952727983707</v>
      </c>
      <c r="V26" t="str">
        <f t="shared" si="29"/>
        <v/>
      </c>
      <c r="W26">
        <f t="shared" si="30"/>
        <v>3.6888794541139363</v>
      </c>
      <c r="X26">
        <f t="shared" si="16"/>
        <v>13.597054669416071</v>
      </c>
      <c r="Y26">
        <f t="shared" si="17"/>
        <v>2.3770297911056555</v>
      </c>
      <c r="Z26">
        <f t="shared" si="18"/>
        <v>9.66427456574643</v>
      </c>
      <c r="AA26" t="str">
        <f t="shared" si="19"/>
        <v/>
      </c>
      <c r="AB26">
        <f t="shared" si="20"/>
        <v>42.723372038656272</v>
      </c>
      <c r="AC26">
        <f t="shared" si="21"/>
        <v>577.87482345018304</v>
      </c>
      <c r="AD26">
        <f t="shared" si="22"/>
        <v>202.04753224398073</v>
      </c>
      <c r="AE26">
        <f t="shared" si="23"/>
        <v>410.73166904422328</v>
      </c>
      <c r="AF26" t="str">
        <f t="shared" si="24"/>
        <v/>
      </c>
      <c r="AG26">
        <f t="shared" si="25"/>
        <v>726.29732465715665</v>
      </c>
      <c r="AH26">
        <v>18</v>
      </c>
      <c r="AI26" t="e">
        <f ca="1"/>
        <v>#N/A</v>
      </c>
      <c r="AJ26" t="e">
        <f ca="1"/>
        <v>#N/A</v>
      </c>
      <c r="AK26" t="e">
        <f t="shared" ca="1" si="31"/>
        <v>#N/A</v>
      </c>
      <c r="AL26" t="e">
        <f t="shared" ca="1" si="32"/>
        <v>#N/A</v>
      </c>
      <c r="AM26" t="e">
        <f t="shared" ca="1" si="33"/>
        <v>#N/A</v>
      </c>
      <c r="AN26">
        <v>9.5</v>
      </c>
      <c r="AO26">
        <f t="shared" ca="1" si="34"/>
        <v>762.15163787235463</v>
      </c>
      <c r="AY26" t="s">
        <v>105</v>
      </c>
      <c r="AZ26">
        <f ca="1">MAX(OFFSET(M9,0,AZ23,AZ24,1))</f>
        <v>800</v>
      </c>
    </row>
    <row r="27" spans="1:58" x14ac:dyDescent="0.3">
      <c r="A27">
        <v>2.78</v>
      </c>
      <c r="C27">
        <v>19</v>
      </c>
      <c r="D27">
        <v>45</v>
      </c>
      <c r="E27">
        <v>90</v>
      </c>
      <c r="F27">
        <v>45</v>
      </c>
      <c r="H27">
        <v>18</v>
      </c>
      <c r="I27">
        <f t="shared" si="6"/>
        <v>11</v>
      </c>
      <c r="J27">
        <f t="shared" si="7"/>
        <v>3</v>
      </c>
      <c r="K27">
        <f t="shared" si="8"/>
        <v>11</v>
      </c>
      <c r="L27" t="str">
        <f t="shared" si="9"/>
        <v/>
      </c>
      <c r="M27">
        <f t="shared" si="10"/>
        <v>39</v>
      </c>
      <c r="N27">
        <f t="shared" si="11"/>
        <v>495</v>
      </c>
      <c r="O27">
        <f t="shared" si="12"/>
        <v>270</v>
      </c>
      <c r="P27">
        <f t="shared" si="13"/>
        <v>495</v>
      </c>
      <c r="Q27" t="str">
        <f t="shared" si="14"/>
        <v/>
      </c>
      <c r="R27">
        <f t="shared" si="15"/>
        <v>702</v>
      </c>
      <c r="S27">
        <f t="shared" si="26"/>
        <v>2.3978952727983707</v>
      </c>
      <c r="T27">
        <f t="shared" si="27"/>
        <v>1.0986122886681098</v>
      </c>
      <c r="U27">
        <f t="shared" si="28"/>
        <v>2.3978952727983707</v>
      </c>
      <c r="V27" t="str">
        <f t="shared" si="29"/>
        <v/>
      </c>
      <c r="W27">
        <f t="shared" si="30"/>
        <v>3.6635616461296463</v>
      </c>
      <c r="X27">
        <f t="shared" si="16"/>
        <v>12.272404445610938</v>
      </c>
      <c r="Y27">
        <f t="shared" si="17"/>
        <v>1.9267829008720492</v>
      </c>
      <c r="Z27">
        <f t="shared" si="18"/>
        <v>8.276631417474098</v>
      </c>
      <c r="AA27" t="str">
        <f t="shared" si="19"/>
        <v/>
      </c>
      <c r="AB27">
        <f t="shared" si="20"/>
        <v>39.795192957197834</v>
      </c>
      <c r="AC27">
        <f t="shared" si="21"/>
        <v>552.25820005249227</v>
      </c>
      <c r="AD27">
        <f t="shared" si="22"/>
        <v>173.41046107848442</v>
      </c>
      <c r="AE27">
        <f t="shared" si="23"/>
        <v>372.44841378633441</v>
      </c>
      <c r="AF27" t="str">
        <f t="shared" si="24"/>
        <v/>
      </c>
      <c r="AG27">
        <f t="shared" si="25"/>
        <v>716.31347322956105</v>
      </c>
      <c r="AH27">
        <v>19</v>
      </c>
      <c r="AI27" t="e">
        <f ca="1"/>
        <v>#N/A</v>
      </c>
      <c r="AJ27" t="e">
        <f ca="1"/>
        <v>#N/A</v>
      </c>
      <c r="AK27" t="e">
        <f t="shared" ca="1" si="31"/>
        <v>#N/A</v>
      </c>
      <c r="AL27" t="e">
        <f t="shared" ca="1" si="32"/>
        <v>#N/A</v>
      </c>
      <c r="AM27" t="e">
        <f t="shared" ca="1" si="33"/>
        <v>#N/A</v>
      </c>
      <c r="AN27">
        <v>10</v>
      </c>
      <c r="AO27">
        <f t="shared" ca="1" si="34"/>
        <v>777.77620620750815</v>
      </c>
      <c r="AY27" t="s">
        <v>41</v>
      </c>
      <c r="AZ27">
        <f ca="1">INDEX(OFFSET(C9,0,AZ23,AZ24,1),AZ28,0)</f>
        <v>10</v>
      </c>
      <c r="BA27">
        <f ca="1">ABS(AZ27-'e) et f)'!E5)</f>
        <v>0</v>
      </c>
    </row>
    <row r="28" spans="1:58" x14ac:dyDescent="0.3">
      <c r="A28">
        <v>3</v>
      </c>
      <c r="C28">
        <v>20</v>
      </c>
      <c r="D28">
        <v>47.5</v>
      </c>
      <c r="E28">
        <v>95</v>
      </c>
      <c r="F28">
        <v>47.5</v>
      </c>
      <c r="H28">
        <v>19</v>
      </c>
      <c r="I28">
        <f t="shared" si="6"/>
        <v>11</v>
      </c>
      <c r="J28">
        <f t="shared" si="7"/>
        <v>3</v>
      </c>
      <c r="K28">
        <f t="shared" si="8"/>
        <v>11</v>
      </c>
      <c r="L28" t="str">
        <f t="shared" si="9"/>
        <v/>
      </c>
      <c r="M28">
        <f t="shared" si="10"/>
        <v>39</v>
      </c>
      <c r="N28">
        <f t="shared" si="11"/>
        <v>522.5</v>
      </c>
      <c r="O28">
        <f t="shared" si="12"/>
        <v>285</v>
      </c>
      <c r="P28">
        <f t="shared" si="13"/>
        <v>522.5</v>
      </c>
      <c r="Q28" t="str">
        <f t="shared" si="14"/>
        <v/>
      </c>
      <c r="R28">
        <f t="shared" si="15"/>
        <v>741</v>
      </c>
      <c r="S28">
        <f t="shared" si="26"/>
        <v>2.3978952727983707</v>
      </c>
      <c r="T28">
        <f t="shared" si="27"/>
        <v>1.0986122886681098</v>
      </c>
      <c r="U28">
        <f t="shared" si="28"/>
        <v>2.3978952727983707</v>
      </c>
      <c r="V28" t="str">
        <f t="shared" si="29"/>
        <v/>
      </c>
      <c r="W28">
        <f t="shared" si="30"/>
        <v>3.6635616461296463</v>
      </c>
      <c r="X28">
        <f t="shared" si="16"/>
        <v>11.076804097539098</v>
      </c>
      <c r="Y28">
        <f t="shared" si="17"/>
        <v>1.5618198648516197</v>
      </c>
      <c r="Z28">
        <f t="shared" si="18"/>
        <v>7.0882327643625329</v>
      </c>
      <c r="AA28" t="str">
        <f t="shared" si="19"/>
        <v/>
      </c>
      <c r="AB28">
        <f t="shared" si="20"/>
        <v>37.067705729494115</v>
      </c>
      <c r="AC28">
        <f t="shared" si="21"/>
        <v>526.1481946331071</v>
      </c>
      <c r="AD28">
        <f t="shared" si="22"/>
        <v>148.37288716090387</v>
      </c>
      <c r="AE28">
        <f t="shared" si="23"/>
        <v>336.69105630722032</v>
      </c>
      <c r="AF28" t="str">
        <f t="shared" si="24"/>
        <v/>
      </c>
      <c r="AG28">
        <f t="shared" si="25"/>
        <v>704.28640886038818</v>
      </c>
      <c r="AH28">
        <v>20</v>
      </c>
      <c r="AI28" t="e">
        <f ca="1"/>
        <v>#N/A</v>
      </c>
      <c r="AJ28" t="e">
        <f ca="1"/>
        <v>#N/A</v>
      </c>
      <c r="AK28" t="e">
        <f t="shared" ca="1" si="31"/>
        <v>#N/A</v>
      </c>
      <c r="AL28" t="e">
        <f t="shared" ca="1" si="32"/>
        <v>#N/A</v>
      </c>
      <c r="AM28" t="e">
        <f t="shared" ca="1" si="33"/>
        <v>#N/A</v>
      </c>
      <c r="AN28">
        <v>10.5</v>
      </c>
      <c r="AO28">
        <f t="shared" ca="1" si="34"/>
        <v>791.73678489981739</v>
      </c>
      <c r="AY28" t="s">
        <v>106</v>
      </c>
      <c r="AZ28">
        <f ca="1">MATCH(AZ26,OFFSET(M9,0,AZ23,AZ24,1),0)</f>
        <v>3</v>
      </c>
    </row>
    <row r="29" spans="1:58" x14ac:dyDescent="0.3">
      <c r="A29">
        <v>3</v>
      </c>
      <c r="C29">
        <v>21</v>
      </c>
      <c r="D29">
        <v>50</v>
      </c>
      <c r="E29">
        <v>100</v>
      </c>
      <c r="F29">
        <v>50</v>
      </c>
      <c r="H29">
        <v>20</v>
      </c>
      <c r="I29">
        <f t="shared" si="6"/>
        <v>11</v>
      </c>
      <c r="J29">
        <f t="shared" si="7"/>
        <v>3</v>
      </c>
      <c r="K29">
        <f t="shared" si="8"/>
        <v>11</v>
      </c>
      <c r="L29" t="str">
        <f t="shared" si="9"/>
        <v/>
      </c>
      <c r="M29">
        <f t="shared" si="10"/>
        <v>39</v>
      </c>
      <c r="N29">
        <f t="shared" si="11"/>
        <v>550</v>
      </c>
      <c r="O29">
        <f t="shared" si="12"/>
        <v>300</v>
      </c>
      <c r="P29">
        <f t="shared" si="13"/>
        <v>550</v>
      </c>
      <c r="Q29" t="str">
        <f t="shared" si="14"/>
        <v/>
      </c>
      <c r="R29">
        <f t="shared" si="15"/>
        <v>780</v>
      </c>
      <c r="S29">
        <f t="shared" si="26"/>
        <v>2.3978952727983707</v>
      </c>
      <c r="T29">
        <f t="shared" si="27"/>
        <v>1.0986122886681098</v>
      </c>
      <c r="U29">
        <f t="shared" si="28"/>
        <v>2.3978952727983707</v>
      </c>
      <c r="V29" t="str">
        <f t="shared" si="29"/>
        <v/>
      </c>
      <c r="W29">
        <f t="shared" si="30"/>
        <v>3.6635616461296463</v>
      </c>
      <c r="X29">
        <f t="shared" si="16"/>
        <v>9.9976813475324597</v>
      </c>
      <c r="Y29">
        <f t="shared" si="17"/>
        <v>1.2659865774920096</v>
      </c>
      <c r="Z29">
        <f t="shared" si="18"/>
        <v>6.0704701209367009</v>
      </c>
      <c r="AA29" t="str">
        <f t="shared" si="19"/>
        <v/>
      </c>
      <c r="AB29">
        <f t="shared" si="20"/>
        <v>34.527155315623375</v>
      </c>
      <c r="AC29">
        <f t="shared" si="21"/>
        <v>499.88406737662297</v>
      </c>
      <c r="AD29">
        <f t="shared" si="22"/>
        <v>126.59865774920095</v>
      </c>
      <c r="AE29">
        <f t="shared" si="23"/>
        <v>303.52350604683505</v>
      </c>
      <c r="AF29" t="str">
        <f t="shared" si="24"/>
        <v/>
      </c>
      <c r="AG29">
        <f t="shared" si="25"/>
        <v>690.54310631246744</v>
      </c>
      <c r="AH29">
        <v>21</v>
      </c>
      <c r="AI29" t="e">
        <f ca="1"/>
        <v>#N/A</v>
      </c>
      <c r="AJ29" t="e">
        <f ca="1"/>
        <v>#N/A</v>
      </c>
      <c r="AK29" t="e">
        <f t="shared" ca="1" si="31"/>
        <v>#N/A</v>
      </c>
      <c r="AL29" t="e">
        <f t="shared" ca="1" si="32"/>
        <v>#N/A</v>
      </c>
      <c r="AM29" t="e">
        <f t="shared" ca="1" si="33"/>
        <v>#N/A</v>
      </c>
      <c r="AN29">
        <v>11</v>
      </c>
      <c r="AO29">
        <f t="shared" ca="1" si="34"/>
        <v>804.12040056450758</v>
      </c>
      <c r="AX29" t="s">
        <v>107</v>
      </c>
      <c r="AY29">
        <v>1</v>
      </c>
      <c r="AZ29">
        <f ca="1">ROUND($Z$2,3)*EXP(-ROUND($Z$1,3)*AY29)</f>
        <v>135.89108742091599</v>
      </c>
      <c r="BA29">
        <f ca="1">AY29*AZ29</f>
        <v>135.89108742091599</v>
      </c>
      <c r="BB29">
        <f ca="1">ABS(AZ29-'g)'!B4)</f>
        <v>0</v>
      </c>
      <c r="BC29">
        <f ca="1">ABS(BA29-'g)'!C4)</f>
        <v>135.89108742091599</v>
      </c>
      <c r="BD29">
        <f ca="1">MAX(BB29:BC97)</f>
        <v>857.8613239736643</v>
      </c>
      <c r="BE29" t="s">
        <v>105</v>
      </c>
      <c r="BF29" s="111">
        <f>MAX('g)'!C4:C72)</f>
        <v>0</v>
      </c>
    </row>
    <row r="30" spans="1:58" x14ac:dyDescent="0.3">
      <c r="A30">
        <v>3.25</v>
      </c>
      <c r="C30">
        <v>22</v>
      </c>
      <c r="D30">
        <v>52.5</v>
      </c>
      <c r="F30">
        <v>52.5</v>
      </c>
      <c r="H30">
        <v>21</v>
      </c>
      <c r="I30">
        <f t="shared" si="6"/>
        <v>4</v>
      </c>
      <c r="J30" t="str">
        <f t="shared" si="7"/>
        <v/>
      </c>
      <c r="K30">
        <f t="shared" si="8"/>
        <v>4</v>
      </c>
      <c r="L30" t="str">
        <f t="shared" si="9"/>
        <v/>
      </c>
      <c r="M30">
        <f t="shared" si="10"/>
        <v>25</v>
      </c>
      <c r="N30">
        <f t="shared" si="11"/>
        <v>210</v>
      </c>
      <c r="O30" t="str">
        <f t="shared" si="12"/>
        <v/>
      </c>
      <c r="P30">
        <f t="shared" si="13"/>
        <v>210</v>
      </c>
      <c r="Q30" t="str">
        <f t="shared" si="14"/>
        <v/>
      </c>
      <c r="R30">
        <f t="shared" si="15"/>
        <v>525</v>
      </c>
      <c r="S30">
        <f t="shared" si="26"/>
        <v>1.3862943611198906</v>
      </c>
      <c r="T30" t="str">
        <f t="shared" si="27"/>
        <v/>
      </c>
      <c r="U30">
        <f t="shared" si="28"/>
        <v>1.3862943611198906</v>
      </c>
      <c r="V30" t="str">
        <f t="shared" si="29"/>
        <v/>
      </c>
      <c r="W30">
        <f t="shared" si="30"/>
        <v>3.2188758248682006</v>
      </c>
      <c r="X30">
        <f t="shared" si="16"/>
        <v>9.0236887324751844</v>
      </c>
      <c r="Y30" t="str">
        <f t="shared" si="17"/>
        <v/>
      </c>
      <c r="Z30">
        <f t="shared" si="18"/>
        <v>5.1988427460309792</v>
      </c>
      <c r="AA30" t="str">
        <f t="shared" si="19"/>
        <v/>
      </c>
      <c r="AB30">
        <f t="shared" si="20"/>
        <v>32.1607294200738</v>
      </c>
      <c r="AC30">
        <f t="shared" si="21"/>
        <v>473.74365845494719</v>
      </c>
      <c r="AD30" t="str">
        <f t="shared" si="22"/>
        <v/>
      </c>
      <c r="AE30">
        <f t="shared" si="23"/>
        <v>272.93924416662639</v>
      </c>
      <c r="AF30" t="str">
        <f t="shared" si="24"/>
        <v/>
      </c>
      <c r="AG30">
        <f t="shared" si="25"/>
        <v>675.37531782154974</v>
      </c>
      <c r="AH30">
        <v>22</v>
      </c>
      <c r="AI30" t="e">
        <f ca="1"/>
        <v>#N/A</v>
      </c>
      <c r="AJ30" t="e">
        <f ca="1"/>
        <v>#N/A</v>
      </c>
      <c r="AK30" t="e">
        <f t="shared" ca="1" si="31"/>
        <v>#N/A</v>
      </c>
      <c r="AL30" t="e">
        <f t="shared" ca="1" si="32"/>
        <v>#N/A</v>
      </c>
      <c r="AM30" t="e">
        <f t="shared" ca="1" si="33"/>
        <v>#N/A</v>
      </c>
      <c r="AN30">
        <v>11.5</v>
      </c>
      <c r="AO30">
        <f t="shared" ca="1" si="34"/>
        <v>815.0103173484631</v>
      </c>
      <c r="AY30">
        <v>1.5</v>
      </c>
      <c r="AZ30">
        <f t="shared" ref="AZ30:AZ93" ca="1" si="35">ROUND($Z$2,3)*EXP(-ROUND($Z$1,3)*AY30)</f>
        <v>131.74308985331689</v>
      </c>
      <c r="BA30">
        <f t="shared" ref="BA30:BA93" ca="1" si="36">AY30*AZ30</f>
        <v>197.61463477997535</v>
      </c>
      <c r="BB30">
        <f ca="1">ABS(AZ30-'g)'!B5)</f>
        <v>0</v>
      </c>
      <c r="BC30">
        <f ca="1">ABS(BA30-'g)'!C5)</f>
        <v>197.61463477997535</v>
      </c>
      <c r="BE30" t="s">
        <v>106</v>
      </c>
      <c r="BF30" t="e">
        <f>MATCH(BF29,'g)'!C4:C72,0)</f>
        <v>#N/A</v>
      </c>
    </row>
    <row r="31" spans="1:58" x14ac:dyDescent="0.3">
      <c r="A31">
        <v>4</v>
      </c>
      <c r="C31">
        <v>23</v>
      </c>
      <c r="D31">
        <v>55</v>
      </c>
      <c r="F31">
        <v>55</v>
      </c>
      <c r="H31">
        <v>22</v>
      </c>
      <c r="I31">
        <f t="shared" si="6"/>
        <v>3</v>
      </c>
      <c r="J31" t="str">
        <f t="shared" si="7"/>
        <v/>
      </c>
      <c r="K31">
        <f t="shared" si="8"/>
        <v>3</v>
      </c>
      <c r="L31" t="str">
        <f t="shared" si="9"/>
        <v/>
      </c>
      <c r="M31">
        <f t="shared" si="10"/>
        <v>25</v>
      </c>
      <c r="N31">
        <f t="shared" si="11"/>
        <v>165</v>
      </c>
      <c r="O31" t="str">
        <f t="shared" si="12"/>
        <v/>
      </c>
      <c r="P31">
        <f t="shared" si="13"/>
        <v>165</v>
      </c>
      <c r="Q31" t="str">
        <f t="shared" si="14"/>
        <v/>
      </c>
      <c r="R31">
        <f t="shared" si="15"/>
        <v>550</v>
      </c>
      <c r="S31">
        <f t="shared" si="26"/>
        <v>1.0986122886681098</v>
      </c>
      <c r="T31" t="str">
        <f t="shared" si="27"/>
        <v/>
      </c>
      <c r="U31">
        <f t="shared" si="28"/>
        <v>1.0986122886681098</v>
      </c>
      <c r="V31" t="str">
        <f t="shared" si="29"/>
        <v/>
      </c>
      <c r="W31">
        <f t="shared" si="30"/>
        <v>3.2188758248682006</v>
      </c>
      <c r="X31">
        <f t="shared" si="16"/>
        <v>8.1445842801037784</v>
      </c>
      <c r="Y31" t="str">
        <f t="shared" si="17"/>
        <v/>
      </c>
      <c r="Z31">
        <f t="shared" si="18"/>
        <v>4.4523678330515164</v>
      </c>
      <c r="AA31" t="str">
        <f t="shared" si="19"/>
        <v/>
      </c>
      <c r="AB31">
        <f t="shared" si="20"/>
        <v>29.956493877825462</v>
      </c>
      <c r="AC31">
        <f t="shared" si="21"/>
        <v>447.95213540570779</v>
      </c>
      <c r="AD31" t="str">
        <f t="shared" si="22"/>
        <v/>
      </c>
      <c r="AE31">
        <f t="shared" si="23"/>
        <v>244.88023081783339</v>
      </c>
      <c r="AF31" t="str">
        <f t="shared" si="24"/>
        <v/>
      </c>
      <c r="AG31">
        <f t="shared" si="25"/>
        <v>659.04286531216019</v>
      </c>
      <c r="AH31">
        <v>23</v>
      </c>
      <c r="AI31" t="e">
        <f ca="1"/>
        <v>#N/A</v>
      </c>
      <c r="AJ31" t="e">
        <f ca="1"/>
        <v>#N/A</v>
      </c>
      <c r="AK31" t="e">
        <f t="shared" ca="1" si="31"/>
        <v>#N/A</v>
      </c>
      <c r="AL31" t="e">
        <f t="shared" ca="1" si="32"/>
        <v>#N/A</v>
      </c>
      <c r="AM31" t="e">
        <f t="shared" ca="1" si="33"/>
        <v>#N/A</v>
      </c>
      <c r="AN31">
        <v>12</v>
      </c>
      <c r="AO31">
        <f t="shared" ca="1" si="34"/>
        <v>824.48618553837389</v>
      </c>
      <c r="AY31">
        <v>2</v>
      </c>
      <c r="AZ31">
        <f t="shared" ca="1" si="35"/>
        <v>127.72170753435077</v>
      </c>
      <c r="BA31">
        <f t="shared" ca="1" si="36"/>
        <v>255.44341506870154</v>
      </c>
      <c r="BB31">
        <f ca="1">ABS(AZ31-'g)'!B6)</f>
        <v>0</v>
      </c>
      <c r="BC31">
        <f ca="1">ABS(BA31-'g)'!C6)</f>
        <v>255.44341506870154</v>
      </c>
      <c r="BE31" t="s">
        <v>41</v>
      </c>
      <c r="BF31" t="e">
        <f>INDEX('g)'!A4:A72,BF30)</f>
        <v>#N/A</v>
      </c>
    </row>
    <row r="32" spans="1:58" x14ac:dyDescent="0.3">
      <c r="A32">
        <v>4</v>
      </c>
      <c r="C32">
        <v>24</v>
      </c>
      <c r="D32">
        <v>57.5</v>
      </c>
      <c r="F32">
        <v>57.5</v>
      </c>
      <c r="H32">
        <v>23</v>
      </c>
      <c r="I32">
        <f t="shared" si="6"/>
        <v>3</v>
      </c>
      <c r="J32" t="str">
        <f t="shared" si="7"/>
        <v/>
      </c>
      <c r="K32">
        <f t="shared" si="8"/>
        <v>3</v>
      </c>
      <c r="L32" t="str">
        <f t="shared" si="9"/>
        <v/>
      </c>
      <c r="M32">
        <f t="shared" si="10"/>
        <v>24</v>
      </c>
      <c r="N32">
        <f t="shared" si="11"/>
        <v>172.5</v>
      </c>
      <c r="O32" t="str">
        <f t="shared" si="12"/>
        <v/>
      </c>
      <c r="P32">
        <f t="shared" si="13"/>
        <v>172.5</v>
      </c>
      <c r="Q32" t="str">
        <f t="shared" si="14"/>
        <v/>
      </c>
      <c r="R32">
        <f t="shared" si="15"/>
        <v>552</v>
      </c>
      <c r="S32">
        <f t="shared" si="26"/>
        <v>1.0986122886681098</v>
      </c>
      <c r="T32" t="str">
        <f t="shared" si="27"/>
        <v/>
      </c>
      <c r="U32">
        <f t="shared" si="28"/>
        <v>1.0986122886681098</v>
      </c>
      <c r="V32" t="str">
        <f t="shared" si="29"/>
        <v/>
      </c>
      <c r="W32">
        <f t="shared" si="30"/>
        <v>3.1780538303479458</v>
      </c>
      <c r="X32">
        <f t="shared" si="16"/>
        <v>7.3511238100428304</v>
      </c>
      <c r="Y32" t="str">
        <f t="shared" si="17"/>
        <v/>
      </c>
      <c r="Z32">
        <f t="shared" si="18"/>
        <v>3.8130753879651471</v>
      </c>
      <c r="AA32" t="str">
        <f t="shared" si="19"/>
        <v/>
      </c>
      <c r="AB32">
        <f t="shared" si="20"/>
        <v>27.903332468947937</v>
      </c>
      <c r="AC32">
        <f t="shared" si="21"/>
        <v>422.68961907746274</v>
      </c>
      <c r="AD32" t="str">
        <f t="shared" si="22"/>
        <v/>
      </c>
      <c r="AE32">
        <f t="shared" si="23"/>
        <v>219.25183480799595</v>
      </c>
      <c r="AF32" t="str">
        <f t="shared" si="24"/>
        <v/>
      </c>
      <c r="AG32">
        <f t="shared" si="25"/>
        <v>641.77664678580254</v>
      </c>
      <c r="AH32">
        <v>24</v>
      </c>
      <c r="AI32" t="e">
        <f ca="1"/>
        <v>#N/A</v>
      </c>
      <c r="AJ32" t="e">
        <f ca="1"/>
        <v>#N/A</v>
      </c>
      <c r="AK32" t="e">
        <f t="shared" ca="1" si="31"/>
        <v>#N/A</v>
      </c>
      <c r="AL32" t="e">
        <f t="shared" ca="1" si="32"/>
        <v>#N/A</v>
      </c>
      <c r="AM32" t="e">
        <f t="shared" ca="1" si="33"/>
        <v>#N/A</v>
      </c>
      <c r="AN32">
        <v>12.5</v>
      </c>
      <c r="AO32">
        <f t="shared" ca="1" si="34"/>
        <v>832.62418460216838</v>
      </c>
      <c r="AY32">
        <v>2.5</v>
      </c>
      <c r="AZ32">
        <f t="shared" ca="1" si="35"/>
        <v>123.82307560611329</v>
      </c>
      <c r="BA32">
        <f t="shared" ca="1" si="36"/>
        <v>309.55768901528324</v>
      </c>
      <c r="BB32">
        <f ca="1">ABS(AZ32-'g)'!B7)</f>
        <v>0</v>
      </c>
      <c r="BC32">
        <f ca="1">ABS(BA32-'g)'!C7)</f>
        <v>309.55768901528324</v>
      </c>
      <c r="BF32" t="e">
        <f>ABS(BF31-'g)'!I3)</f>
        <v>#N/A</v>
      </c>
    </row>
    <row r="33" spans="1:55" x14ac:dyDescent="0.3">
      <c r="A33">
        <v>4</v>
      </c>
      <c r="C33">
        <v>25</v>
      </c>
      <c r="D33">
        <v>60</v>
      </c>
      <c r="F33">
        <v>60</v>
      </c>
      <c r="H33">
        <v>24</v>
      </c>
      <c r="I33">
        <f t="shared" si="6"/>
        <v>3</v>
      </c>
      <c r="J33" t="str">
        <f t="shared" si="7"/>
        <v/>
      </c>
      <c r="K33">
        <f t="shared" si="8"/>
        <v>3</v>
      </c>
      <c r="L33" t="str">
        <f t="shared" si="9"/>
        <v/>
      </c>
      <c r="M33">
        <f t="shared" si="10"/>
        <v>22</v>
      </c>
      <c r="N33">
        <f t="shared" si="11"/>
        <v>180</v>
      </c>
      <c r="O33" t="str">
        <f t="shared" si="12"/>
        <v/>
      </c>
      <c r="P33">
        <f t="shared" si="13"/>
        <v>180</v>
      </c>
      <c r="Q33" t="str">
        <f t="shared" si="14"/>
        <v/>
      </c>
      <c r="R33">
        <f t="shared" si="15"/>
        <v>528</v>
      </c>
      <c r="S33">
        <f t="shared" si="26"/>
        <v>1.0986122886681098</v>
      </c>
      <c r="T33" t="str">
        <f t="shared" si="27"/>
        <v/>
      </c>
      <c r="U33">
        <f t="shared" si="28"/>
        <v>1.0986122886681098</v>
      </c>
      <c r="V33" t="str">
        <f t="shared" si="29"/>
        <v/>
      </c>
      <c r="W33">
        <f t="shared" si="30"/>
        <v>3.0910424533583161</v>
      </c>
      <c r="X33">
        <f t="shared" si="16"/>
        <v>6.6349637270731341</v>
      </c>
      <c r="Y33" t="str">
        <f t="shared" si="17"/>
        <v/>
      </c>
      <c r="Z33">
        <f t="shared" si="18"/>
        <v>3.2655756351425707</v>
      </c>
      <c r="AA33" t="str">
        <f t="shared" si="19"/>
        <v/>
      </c>
      <c r="AB33">
        <f t="shared" si="20"/>
        <v>25.99089085819152</v>
      </c>
      <c r="AC33">
        <f t="shared" si="21"/>
        <v>398.09782362438807</v>
      </c>
      <c r="AD33" t="str">
        <f t="shared" si="22"/>
        <v/>
      </c>
      <c r="AE33">
        <f t="shared" si="23"/>
        <v>195.93453810855425</v>
      </c>
      <c r="AF33" t="str">
        <f t="shared" si="24"/>
        <v/>
      </c>
      <c r="AG33">
        <f t="shared" si="25"/>
        <v>623.78138059659648</v>
      </c>
      <c r="AH33">
        <v>25</v>
      </c>
      <c r="AI33" t="e">
        <f ca="1"/>
        <v>#N/A</v>
      </c>
      <c r="AJ33" t="e">
        <f ca="1"/>
        <v>#N/A</v>
      </c>
      <c r="AK33" t="e">
        <f t="shared" ca="1" si="31"/>
        <v>#N/A</v>
      </c>
      <c r="AL33" t="e">
        <f t="shared" ca="1" si="32"/>
        <v>#N/A</v>
      </c>
      <c r="AM33" t="e">
        <f t="shared" ca="1" si="33"/>
        <v>#N/A</v>
      </c>
      <c r="AN33">
        <v>13</v>
      </c>
      <c r="AO33">
        <f t="shared" ca="1" si="34"/>
        <v>839.49716086511194</v>
      </c>
      <c r="AY33">
        <v>3</v>
      </c>
      <c r="AZ33">
        <f t="shared" ca="1" si="35"/>
        <v>120.04344718327276</v>
      </c>
      <c r="BA33">
        <f t="shared" ca="1" si="36"/>
        <v>360.1303415498183</v>
      </c>
      <c r="BB33">
        <f ca="1">ABS(AZ33-'g)'!B8)</f>
        <v>0</v>
      </c>
      <c r="BC33">
        <f ca="1">ABS(BA33-'g)'!C8)</f>
        <v>360.1303415498183</v>
      </c>
    </row>
    <row r="34" spans="1:55" x14ac:dyDescent="0.3">
      <c r="A34">
        <v>5</v>
      </c>
      <c r="C34">
        <v>26</v>
      </c>
      <c r="D34">
        <v>62.5</v>
      </c>
      <c r="H34">
        <v>25</v>
      </c>
      <c r="I34">
        <f t="shared" si="6"/>
        <v>3</v>
      </c>
      <c r="J34" t="str">
        <f t="shared" si="7"/>
        <v/>
      </c>
      <c r="K34" t="str">
        <f t="shared" si="8"/>
        <v/>
      </c>
      <c r="L34" t="str">
        <f t="shared" si="9"/>
        <v/>
      </c>
      <c r="M34">
        <f t="shared" si="10"/>
        <v>22</v>
      </c>
      <c r="N34">
        <f t="shared" si="11"/>
        <v>187.5</v>
      </c>
      <c r="O34" t="str">
        <f t="shared" si="12"/>
        <v/>
      </c>
      <c r="P34" t="str">
        <f t="shared" si="13"/>
        <v/>
      </c>
      <c r="Q34" t="str">
        <f t="shared" si="14"/>
        <v/>
      </c>
      <c r="R34">
        <f t="shared" si="15"/>
        <v>550</v>
      </c>
      <c r="S34">
        <f t="shared" si="26"/>
        <v>1.0986122886681098</v>
      </c>
      <c r="T34" t="str">
        <f t="shared" si="27"/>
        <v/>
      </c>
      <c r="U34" t="str">
        <f t="shared" si="28"/>
        <v/>
      </c>
      <c r="V34" t="str">
        <f t="shared" si="29"/>
        <v/>
      </c>
      <c r="W34">
        <f t="shared" si="30"/>
        <v>3.0910424533583161</v>
      </c>
      <c r="X34">
        <f t="shared" si="16"/>
        <v>5.9885732844594441</v>
      </c>
      <c r="Y34" t="str">
        <f t="shared" si="17"/>
        <v/>
      </c>
      <c r="Z34" t="str">
        <f t="shared" si="18"/>
        <v/>
      </c>
      <c r="AA34" t="str">
        <f t="shared" si="19"/>
        <v/>
      </c>
      <c r="AB34">
        <f t="shared" si="20"/>
        <v>24.209524376852809</v>
      </c>
      <c r="AC34">
        <f t="shared" si="21"/>
        <v>374.28583027871525</v>
      </c>
      <c r="AD34" t="str">
        <f t="shared" si="22"/>
        <v/>
      </c>
      <c r="AE34" t="str">
        <f t="shared" si="23"/>
        <v/>
      </c>
      <c r="AF34" t="str">
        <f t="shared" si="24"/>
        <v/>
      </c>
      <c r="AG34">
        <f t="shared" si="25"/>
        <v>605.23810942132025</v>
      </c>
      <c r="AH34">
        <v>26</v>
      </c>
      <c r="AI34" t="e">
        <f ca="1"/>
        <v>#N/A</v>
      </c>
      <c r="AJ34" t="e">
        <f ca="1"/>
        <v>#N/A</v>
      </c>
      <c r="AK34" t="e">
        <f t="shared" ca="1" si="31"/>
        <v>#N/A</v>
      </c>
      <c r="AL34" t="e">
        <f t="shared" ca="1" si="32"/>
        <v>#N/A</v>
      </c>
      <c r="AM34" t="e">
        <f t="shared" ca="1" si="33"/>
        <v>#N/A</v>
      </c>
      <c r="AN34">
        <v>13.5</v>
      </c>
      <c r="AO34">
        <f t="shared" ca="1" si="34"/>
        <v>845.17476001483965</v>
      </c>
      <c r="AY34">
        <v>3.5</v>
      </c>
      <c r="AZ34">
        <f t="shared" ca="1" si="35"/>
        <v>116.37918975202503</v>
      </c>
      <c r="BA34">
        <f t="shared" ca="1" si="36"/>
        <v>407.3271641320876</v>
      </c>
      <c r="BB34">
        <f ca="1">ABS(AZ34-'g)'!B9)</f>
        <v>0</v>
      </c>
      <c r="BC34">
        <f ca="1">ABS(BA34-'g)'!C9)</f>
        <v>407.3271641320876</v>
      </c>
    </row>
    <row r="35" spans="1:55" x14ac:dyDescent="0.3">
      <c r="A35">
        <v>5</v>
      </c>
      <c r="C35">
        <v>27</v>
      </c>
      <c r="D35">
        <v>65</v>
      </c>
      <c r="H35">
        <v>26</v>
      </c>
      <c r="I35">
        <f t="shared" si="6"/>
        <v>3</v>
      </c>
      <c r="J35" t="str">
        <f t="shared" si="7"/>
        <v/>
      </c>
      <c r="K35" t="str">
        <f t="shared" si="8"/>
        <v/>
      </c>
      <c r="L35" t="str">
        <f t="shared" si="9"/>
        <v/>
      </c>
      <c r="M35">
        <f t="shared" si="10"/>
        <v>18</v>
      </c>
      <c r="N35">
        <f t="shared" si="11"/>
        <v>195</v>
      </c>
      <c r="O35" t="str">
        <f t="shared" si="12"/>
        <v/>
      </c>
      <c r="P35" t="str">
        <f t="shared" si="13"/>
        <v/>
      </c>
      <c r="Q35" t="str">
        <f t="shared" si="14"/>
        <v/>
      </c>
      <c r="R35">
        <f t="shared" si="15"/>
        <v>468</v>
      </c>
      <c r="S35">
        <f t="shared" si="26"/>
        <v>1.0986122886681098</v>
      </c>
      <c r="T35" t="str">
        <f t="shared" si="27"/>
        <v/>
      </c>
      <c r="U35" t="str">
        <f t="shared" si="28"/>
        <v/>
      </c>
      <c r="V35" t="str">
        <f t="shared" si="29"/>
        <v/>
      </c>
      <c r="W35">
        <f t="shared" si="30"/>
        <v>2.8903717578961645</v>
      </c>
      <c r="X35">
        <f t="shared" si="16"/>
        <v>5.4051553947472053</v>
      </c>
      <c r="Y35" t="str">
        <f t="shared" si="17"/>
        <v/>
      </c>
      <c r="Z35" t="str">
        <f t="shared" si="18"/>
        <v/>
      </c>
      <c r="AA35" t="str">
        <f t="shared" si="19"/>
        <v/>
      </c>
      <c r="AB35">
        <f t="shared" si="20"/>
        <v>22.550249383572382</v>
      </c>
      <c r="AC35">
        <f t="shared" si="21"/>
        <v>351.33510065856836</v>
      </c>
      <c r="AD35" t="str">
        <f t="shared" si="22"/>
        <v/>
      </c>
      <c r="AE35" t="str">
        <f t="shared" si="23"/>
        <v/>
      </c>
      <c r="AF35" t="str">
        <f t="shared" si="24"/>
        <v/>
      </c>
      <c r="AG35">
        <f t="shared" si="25"/>
        <v>586.30648397288189</v>
      </c>
      <c r="AH35">
        <v>27</v>
      </c>
      <c r="AI35" t="e">
        <f ca="1"/>
        <v>#N/A</v>
      </c>
      <c r="AJ35" t="e">
        <f ca="1"/>
        <v>#N/A</v>
      </c>
      <c r="AK35" t="e">
        <f t="shared" ca="1" si="31"/>
        <v>#N/A</v>
      </c>
      <c r="AL35" t="e">
        <f t="shared" ca="1" si="32"/>
        <v>#N/A</v>
      </c>
      <c r="AM35" t="e">
        <f t="shared" ca="1" si="33"/>
        <v>#N/A</v>
      </c>
      <c r="AN35">
        <v>14</v>
      </c>
      <c r="AO35">
        <f t="shared" ca="1" si="34"/>
        <v>849.72355462273413</v>
      </c>
      <c r="AY35">
        <v>4</v>
      </c>
      <c r="AZ35">
        <f t="shared" ca="1" si="35"/>
        <v>112.82678167896803</v>
      </c>
      <c r="BA35">
        <f t="shared" ca="1" si="36"/>
        <v>451.30712671587213</v>
      </c>
      <c r="BB35">
        <f ca="1">ABS(AZ35-'g)'!B10)</f>
        <v>0</v>
      </c>
      <c r="BC35">
        <f ca="1">ABS(BA35-'g)'!C10)</f>
        <v>451.30712671587213</v>
      </c>
    </row>
    <row r="36" spans="1:55" x14ac:dyDescent="0.3">
      <c r="A36">
        <v>5</v>
      </c>
      <c r="C36">
        <v>28</v>
      </c>
      <c r="D36">
        <v>67.5</v>
      </c>
      <c r="H36">
        <v>27</v>
      </c>
      <c r="I36">
        <f t="shared" si="6"/>
        <v>3</v>
      </c>
      <c r="J36" t="str">
        <f t="shared" si="7"/>
        <v/>
      </c>
      <c r="K36" t="str">
        <f t="shared" si="8"/>
        <v/>
      </c>
      <c r="L36" t="str">
        <f t="shared" si="9"/>
        <v/>
      </c>
      <c r="M36">
        <f t="shared" si="10"/>
        <v>18</v>
      </c>
      <c r="N36">
        <f t="shared" si="11"/>
        <v>202.5</v>
      </c>
      <c r="O36" t="str">
        <f t="shared" si="12"/>
        <v/>
      </c>
      <c r="P36" t="str">
        <f t="shared" si="13"/>
        <v/>
      </c>
      <c r="Q36" t="str">
        <f t="shared" si="14"/>
        <v/>
      </c>
      <c r="R36">
        <f t="shared" si="15"/>
        <v>486</v>
      </c>
      <c r="S36">
        <f t="shared" si="26"/>
        <v>1.0986122886681098</v>
      </c>
      <c r="T36" t="str">
        <f t="shared" si="27"/>
        <v/>
      </c>
      <c r="U36" t="str">
        <f t="shared" si="28"/>
        <v/>
      </c>
      <c r="V36" t="str">
        <f t="shared" si="29"/>
        <v/>
      </c>
      <c r="W36">
        <f t="shared" si="30"/>
        <v>2.8903717578961645</v>
      </c>
      <c r="X36">
        <f t="shared" si="16"/>
        <v>4.8785751553179768</v>
      </c>
      <c r="Y36" t="str">
        <f t="shared" si="17"/>
        <v/>
      </c>
      <c r="Z36" t="str">
        <f t="shared" si="18"/>
        <v/>
      </c>
      <c r="AA36" t="str">
        <f t="shared" si="19"/>
        <v/>
      </c>
      <c r="AB36">
        <f t="shared" si="20"/>
        <v>21.004697958771398</v>
      </c>
      <c r="AC36">
        <f t="shared" si="21"/>
        <v>329.30382298396341</v>
      </c>
      <c r="AD36" t="str">
        <f t="shared" si="22"/>
        <v/>
      </c>
      <c r="AE36" t="str">
        <f t="shared" si="23"/>
        <v/>
      </c>
      <c r="AF36" t="str">
        <f t="shared" si="24"/>
        <v/>
      </c>
      <c r="AG36">
        <f t="shared" si="25"/>
        <v>567.12684488682771</v>
      </c>
      <c r="AH36">
        <v>28</v>
      </c>
      <c r="AI36" t="e">
        <f ca="1"/>
        <v>#N/A</v>
      </c>
      <c r="AJ36" t="e">
        <f ca="1"/>
        <v>#N/A</v>
      </c>
      <c r="AK36" t="e">
        <f t="shared" ca="1" si="31"/>
        <v>#N/A</v>
      </c>
      <c r="AL36" t="e">
        <f t="shared" ca="1" si="32"/>
        <v>#N/A</v>
      </c>
      <c r="AM36" t="e">
        <f t="shared" ca="1" si="33"/>
        <v>#N/A</v>
      </c>
      <c r="AN36">
        <v>14.5</v>
      </c>
      <c r="AO36">
        <f t="shared" ca="1" si="34"/>
        <v>853.20716686243281</v>
      </c>
      <c r="AY36">
        <v>4.5</v>
      </c>
      <c r="AZ36">
        <f t="shared" ca="1" si="35"/>
        <v>109.38280882654119</v>
      </c>
      <c r="BA36">
        <f t="shared" ca="1" si="36"/>
        <v>492.22263971943539</v>
      </c>
      <c r="BB36">
        <f ca="1">ABS(AZ36-'g)'!B11)</f>
        <v>0</v>
      </c>
      <c r="BC36">
        <f ca="1">ABS(BA36-'g)'!C11)</f>
        <v>492.22263971943539</v>
      </c>
    </row>
    <row r="37" spans="1:55" x14ac:dyDescent="0.3">
      <c r="A37">
        <v>5</v>
      </c>
      <c r="C37">
        <v>29</v>
      </c>
      <c r="D37">
        <v>70</v>
      </c>
      <c r="H37">
        <v>28</v>
      </c>
      <c r="I37">
        <f t="shared" si="6"/>
        <v>3</v>
      </c>
      <c r="J37" t="str">
        <f t="shared" si="7"/>
        <v/>
      </c>
      <c r="K37" t="str">
        <f t="shared" si="8"/>
        <v/>
      </c>
      <c r="L37" t="str">
        <f t="shared" si="9"/>
        <v/>
      </c>
      <c r="M37">
        <f t="shared" si="10"/>
        <v>18</v>
      </c>
      <c r="N37">
        <f t="shared" si="11"/>
        <v>210</v>
      </c>
      <c r="O37" t="str">
        <f t="shared" si="12"/>
        <v/>
      </c>
      <c r="P37" t="str">
        <f t="shared" si="13"/>
        <v/>
      </c>
      <c r="Q37" t="str">
        <f t="shared" si="14"/>
        <v/>
      </c>
      <c r="R37">
        <f t="shared" si="15"/>
        <v>504</v>
      </c>
      <c r="S37">
        <f t="shared" si="26"/>
        <v>1.0986122886681098</v>
      </c>
      <c r="T37" t="str">
        <f t="shared" si="27"/>
        <v/>
      </c>
      <c r="U37" t="str">
        <f t="shared" si="28"/>
        <v/>
      </c>
      <c r="V37" t="str">
        <f t="shared" si="29"/>
        <v/>
      </c>
      <c r="W37">
        <f t="shared" si="30"/>
        <v>2.8903717578961645</v>
      </c>
      <c r="X37">
        <f t="shared" si="16"/>
        <v>4.4032953371174903</v>
      </c>
      <c r="Y37" t="str">
        <f t="shared" si="17"/>
        <v/>
      </c>
      <c r="Z37" t="str">
        <f t="shared" si="18"/>
        <v/>
      </c>
      <c r="AA37" t="str">
        <f t="shared" si="19"/>
        <v/>
      </c>
      <c r="AB37">
        <f t="shared" si="20"/>
        <v>19.565075704245778</v>
      </c>
      <c r="AC37">
        <f t="shared" si="21"/>
        <v>308.23067359822431</v>
      </c>
      <c r="AD37" t="str">
        <f t="shared" si="22"/>
        <v/>
      </c>
      <c r="AE37" t="str">
        <f t="shared" si="23"/>
        <v/>
      </c>
      <c r="AF37" t="str">
        <f t="shared" si="24"/>
        <v/>
      </c>
      <c r="AG37">
        <f t="shared" si="25"/>
        <v>547.82211971888182</v>
      </c>
      <c r="AH37">
        <v>29</v>
      </c>
      <c r="AI37" t="e">
        <f ca="1"/>
        <v>#N/A</v>
      </c>
      <c r="AJ37" t="e">
        <f ca="1"/>
        <v>#N/A</v>
      </c>
      <c r="AK37" t="e">
        <f t="shared" ca="1" si="31"/>
        <v>#N/A</v>
      </c>
      <c r="AL37" t="e">
        <f t="shared" ca="1" si="32"/>
        <v>#N/A</v>
      </c>
      <c r="AM37" t="e">
        <f t="shared" ca="1" si="33"/>
        <v>#N/A</v>
      </c>
      <c r="AN37">
        <v>15</v>
      </c>
      <c r="AO37">
        <f t="shared" ca="1" si="34"/>
        <v>855.68638659985811</v>
      </c>
      <c r="AY37">
        <v>5</v>
      </c>
      <c r="AZ37">
        <f t="shared" ca="1" si="35"/>
        <v>106.04396127177641</v>
      </c>
      <c r="BA37">
        <f t="shared" ca="1" si="36"/>
        <v>530.21980635888201</v>
      </c>
      <c r="BB37">
        <f ca="1">ABS(AZ37-'g)'!B12)</f>
        <v>0</v>
      </c>
      <c r="BC37">
        <f ca="1">ABS(BA37-'g)'!C12)</f>
        <v>530.21980635888201</v>
      </c>
    </row>
    <row r="38" spans="1:55" x14ac:dyDescent="0.3">
      <c r="A38">
        <v>5</v>
      </c>
      <c r="C38">
        <v>30</v>
      </c>
      <c r="D38">
        <v>72.5</v>
      </c>
      <c r="H38">
        <v>29</v>
      </c>
      <c r="I38">
        <f t="shared" si="6"/>
        <v>3</v>
      </c>
      <c r="J38" t="str">
        <f t="shared" si="7"/>
        <v/>
      </c>
      <c r="K38" t="str">
        <f t="shared" si="8"/>
        <v/>
      </c>
      <c r="L38" t="str">
        <f t="shared" si="9"/>
        <v/>
      </c>
      <c r="M38">
        <f t="shared" si="10"/>
        <v>18</v>
      </c>
      <c r="N38">
        <f t="shared" si="11"/>
        <v>217.5</v>
      </c>
      <c r="O38" t="str">
        <f t="shared" si="12"/>
        <v/>
      </c>
      <c r="P38" t="str">
        <f t="shared" si="13"/>
        <v/>
      </c>
      <c r="Q38" t="str">
        <f t="shared" si="14"/>
        <v/>
      </c>
      <c r="R38">
        <f t="shared" si="15"/>
        <v>522</v>
      </c>
      <c r="S38">
        <f t="shared" si="26"/>
        <v>1.0986122886681098</v>
      </c>
      <c r="T38" t="str">
        <f t="shared" si="27"/>
        <v/>
      </c>
      <c r="U38" t="str">
        <f t="shared" si="28"/>
        <v/>
      </c>
      <c r="V38" t="str">
        <f t="shared" si="29"/>
        <v/>
      </c>
      <c r="W38">
        <f t="shared" si="30"/>
        <v>2.8903717578961645</v>
      </c>
      <c r="X38">
        <f t="shared" si="16"/>
        <v>3.9743181581911893</v>
      </c>
      <c r="Y38" t="str">
        <f t="shared" si="17"/>
        <v/>
      </c>
      <c r="Z38" t="str">
        <f t="shared" si="18"/>
        <v/>
      </c>
      <c r="AA38" t="str">
        <f t="shared" si="19"/>
        <v/>
      </c>
      <c r="AB38">
        <f t="shared" si="20"/>
        <v>18.224122435096355</v>
      </c>
      <c r="AC38">
        <f t="shared" si="21"/>
        <v>288.13806646886121</v>
      </c>
      <c r="AD38" t="str">
        <f t="shared" si="22"/>
        <v/>
      </c>
      <c r="AE38" t="str">
        <f t="shared" si="23"/>
        <v/>
      </c>
      <c r="AF38" t="str">
        <f t="shared" si="24"/>
        <v/>
      </c>
      <c r="AG38">
        <f t="shared" si="25"/>
        <v>528.49955061779428</v>
      </c>
      <c r="AH38">
        <v>30</v>
      </c>
      <c r="AI38" t="e">
        <f ca="1"/>
        <v>#N/A</v>
      </c>
      <c r="AJ38" t="e">
        <f ca="1"/>
        <v>#N/A</v>
      </c>
      <c r="AK38" t="e">
        <f t="shared" ca="1" si="31"/>
        <v>#N/A</v>
      </c>
      <c r="AL38" t="e">
        <f t="shared" ca="1" si="32"/>
        <v>#N/A</v>
      </c>
      <c r="AM38" t="e">
        <f t="shared" ca="1" si="33"/>
        <v>#N/A</v>
      </c>
      <c r="AN38">
        <v>15.5</v>
      </c>
      <c r="AO38">
        <f t="shared" ca="1" si="34"/>
        <v>857.21928502299306</v>
      </c>
      <c r="AY38">
        <v>5.5</v>
      </c>
      <c r="AZ38">
        <f t="shared" ca="1" si="35"/>
        <v>102.80703012520735</v>
      </c>
      <c r="BA38">
        <f t="shared" ca="1" si="36"/>
        <v>565.43866568864041</v>
      </c>
      <c r="BB38">
        <f ca="1">ABS(AZ38-'g)'!B13)</f>
        <v>0</v>
      </c>
      <c r="BC38">
        <f ca="1">ABS(BA38-'g)'!C13)</f>
        <v>565.43866568864041</v>
      </c>
    </row>
    <row r="39" spans="1:55" x14ac:dyDescent="0.3">
      <c r="A39">
        <v>5</v>
      </c>
      <c r="C39">
        <v>31</v>
      </c>
      <c r="D39">
        <v>75</v>
      </c>
      <c r="H39">
        <v>30</v>
      </c>
      <c r="I39">
        <f t="shared" si="6"/>
        <v>3</v>
      </c>
      <c r="J39" t="str">
        <f t="shared" si="7"/>
        <v/>
      </c>
      <c r="K39" t="str">
        <f t="shared" si="8"/>
        <v/>
      </c>
      <c r="L39" t="str">
        <f t="shared" si="9"/>
        <v/>
      </c>
      <c r="M39">
        <f t="shared" si="10"/>
        <v>18</v>
      </c>
      <c r="N39">
        <f t="shared" si="11"/>
        <v>225</v>
      </c>
      <c r="O39" t="str">
        <f t="shared" si="12"/>
        <v/>
      </c>
      <c r="P39" t="str">
        <f t="shared" si="13"/>
        <v/>
      </c>
      <c r="Q39" t="str">
        <f t="shared" si="14"/>
        <v/>
      </c>
      <c r="R39">
        <f t="shared" si="15"/>
        <v>540</v>
      </c>
      <c r="S39">
        <f t="shared" si="26"/>
        <v>1.0986122886681098</v>
      </c>
      <c r="T39" t="str">
        <f t="shared" si="27"/>
        <v/>
      </c>
      <c r="U39" t="str">
        <f t="shared" si="28"/>
        <v/>
      </c>
      <c r="V39" t="str">
        <f t="shared" si="29"/>
        <v/>
      </c>
      <c r="W39">
        <f t="shared" si="30"/>
        <v>2.8903717578961645</v>
      </c>
      <c r="X39">
        <f t="shared" si="16"/>
        <v>3.5871327297496585</v>
      </c>
      <c r="Y39" t="str">
        <f t="shared" si="17"/>
        <v/>
      </c>
      <c r="Z39" t="str">
        <f t="shared" si="18"/>
        <v/>
      </c>
      <c r="AA39" t="str">
        <f t="shared" si="19"/>
        <v/>
      </c>
      <c r="AB39">
        <f t="shared" si="20"/>
        <v>16.975075565759752</v>
      </c>
      <c r="AC39">
        <f t="shared" si="21"/>
        <v>269.03495473122439</v>
      </c>
      <c r="AD39" t="str">
        <f t="shared" si="22"/>
        <v/>
      </c>
      <c r="AE39" t="str">
        <f t="shared" si="23"/>
        <v/>
      </c>
      <c r="AF39" t="str">
        <f t="shared" si="24"/>
        <v/>
      </c>
      <c r="AG39">
        <f t="shared" si="25"/>
        <v>509.25226697279254</v>
      </c>
      <c r="AH39">
        <v>31</v>
      </c>
      <c r="AI39" t="e">
        <f ca="1"/>
        <v>#N/A</v>
      </c>
      <c r="AJ39" t="e">
        <f ca="1"/>
        <v>#N/A</v>
      </c>
      <c r="AK39" t="e">
        <f t="shared" ca="1" si="31"/>
        <v>#N/A</v>
      </c>
      <c r="AL39" t="e">
        <f t="shared" ca="1" si="32"/>
        <v>#N/A</v>
      </c>
      <c r="AM39" t="e">
        <f t="shared" ca="1" si="33"/>
        <v>#N/A</v>
      </c>
      <c r="AN39">
        <v>16</v>
      </c>
      <c r="AO39">
        <f t="shared" ca="1" si="34"/>
        <v>857.8613239736643</v>
      </c>
      <c r="AY39">
        <v>6</v>
      </c>
      <c r="AZ39">
        <f t="shared" ca="1" si="35"/>
        <v>99.668904446879651</v>
      </c>
      <c r="BA39">
        <f t="shared" ca="1" si="36"/>
        <v>598.01342668127791</v>
      </c>
      <c r="BB39">
        <f ca="1">ABS(AZ39-'g)'!B14)</f>
        <v>0</v>
      </c>
      <c r="BC39">
        <f ca="1">ABS(BA39-'g)'!C14)</f>
        <v>598.01342668127791</v>
      </c>
    </row>
    <row r="40" spans="1:55" x14ac:dyDescent="0.3">
      <c r="A40">
        <v>5</v>
      </c>
      <c r="C40">
        <v>32</v>
      </c>
      <c r="D40">
        <v>77.5</v>
      </c>
      <c r="H40">
        <v>31</v>
      </c>
      <c r="I40">
        <f t="shared" si="6"/>
        <v>3</v>
      </c>
      <c r="J40" t="str">
        <f t="shared" si="7"/>
        <v/>
      </c>
      <c r="K40" t="str">
        <f t="shared" si="8"/>
        <v/>
      </c>
      <c r="L40" t="str">
        <f t="shared" si="9"/>
        <v/>
      </c>
      <c r="M40">
        <f t="shared" si="10"/>
        <v>17</v>
      </c>
      <c r="N40">
        <f t="shared" si="11"/>
        <v>232.5</v>
      </c>
      <c r="O40" t="str">
        <f t="shared" si="12"/>
        <v/>
      </c>
      <c r="P40" t="str">
        <f t="shared" si="13"/>
        <v/>
      </c>
      <c r="Q40" t="str">
        <f t="shared" si="14"/>
        <v/>
      </c>
      <c r="R40">
        <f t="shared" si="15"/>
        <v>527</v>
      </c>
      <c r="S40">
        <f t="shared" si="26"/>
        <v>1.0986122886681098</v>
      </c>
      <c r="T40" t="str">
        <f t="shared" si="27"/>
        <v/>
      </c>
      <c r="U40" t="str">
        <f t="shared" si="28"/>
        <v/>
      </c>
      <c r="V40" t="str">
        <f t="shared" si="29"/>
        <v/>
      </c>
      <c r="W40">
        <f t="shared" si="30"/>
        <v>2.8332133440562162</v>
      </c>
      <c r="X40">
        <f t="shared" si="16"/>
        <v>3.237667622135608</v>
      </c>
      <c r="Y40" t="str">
        <f t="shared" si="17"/>
        <v/>
      </c>
      <c r="Z40" t="str">
        <f t="shared" si="18"/>
        <v/>
      </c>
      <c r="AA40" t="str">
        <f t="shared" si="19"/>
        <v/>
      </c>
      <c r="AB40">
        <f t="shared" si="20"/>
        <v>15.811636005491437</v>
      </c>
      <c r="AC40">
        <f t="shared" si="21"/>
        <v>250.91924071550963</v>
      </c>
      <c r="AD40" t="str">
        <f t="shared" si="22"/>
        <v/>
      </c>
      <c r="AE40" t="str">
        <f t="shared" si="23"/>
        <v/>
      </c>
      <c r="AF40" t="str">
        <f t="shared" si="24"/>
        <v/>
      </c>
      <c r="AG40">
        <f t="shared" si="25"/>
        <v>490.16071617023454</v>
      </c>
      <c r="AH40">
        <v>32</v>
      </c>
      <c r="AI40" t="e">
        <f ca="1"/>
        <v>#N/A</v>
      </c>
      <c r="AJ40" t="e">
        <f ca="1"/>
        <v>#N/A</v>
      </c>
      <c r="AK40" t="e">
        <f t="shared" ca="1" si="31"/>
        <v>#N/A</v>
      </c>
      <c r="AL40" t="e">
        <f t="shared" ca="1" si="32"/>
        <v>#N/A</v>
      </c>
      <c r="AM40" t="e">
        <f t="shared" ca="1" si="33"/>
        <v>#N/A</v>
      </c>
      <c r="AN40">
        <v>16.5</v>
      </c>
      <c r="AO40">
        <f t="shared" ca="1" si="34"/>
        <v>857.66546113784932</v>
      </c>
      <c r="AY40">
        <v>6.5</v>
      </c>
      <c r="AZ40">
        <f t="shared" ca="1" si="35"/>
        <v>96.626568256498317</v>
      </c>
      <c r="BA40">
        <f t="shared" ca="1" si="36"/>
        <v>628.07269366723904</v>
      </c>
      <c r="BB40">
        <f ca="1">ABS(AZ40-'g)'!B15)</f>
        <v>0</v>
      </c>
      <c r="BC40">
        <f ca="1">ABS(BA40-'g)'!C15)</f>
        <v>628.07269366723904</v>
      </c>
    </row>
    <row r="41" spans="1:55" x14ac:dyDescent="0.3">
      <c r="A41">
        <v>5</v>
      </c>
      <c r="C41">
        <v>33</v>
      </c>
      <c r="D41">
        <v>80</v>
      </c>
      <c r="H41">
        <v>32</v>
      </c>
      <c r="I41">
        <f t="shared" si="6"/>
        <v>3</v>
      </c>
      <c r="J41" t="str">
        <f t="shared" si="7"/>
        <v/>
      </c>
      <c r="K41" t="str">
        <f t="shared" si="8"/>
        <v/>
      </c>
      <c r="L41" t="str">
        <f t="shared" si="9"/>
        <v/>
      </c>
      <c r="M41">
        <f t="shared" si="10"/>
        <v>17</v>
      </c>
      <c r="N41">
        <f t="shared" si="11"/>
        <v>240</v>
      </c>
      <c r="O41" t="str">
        <f t="shared" si="12"/>
        <v/>
      </c>
      <c r="P41" t="str">
        <f t="shared" si="13"/>
        <v/>
      </c>
      <c r="Q41" t="str">
        <f t="shared" si="14"/>
        <v/>
      </c>
      <c r="R41">
        <f t="shared" si="15"/>
        <v>544</v>
      </c>
      <c r="S41">
        <f t="shared" si="26"/>
        <v>1.0986122886681098</v>
      </c>
      <c r="T41" t="str">
        <f t="shared" si="27"/>
        <v/>
      </c>
      <c r="U41" t="str">
        <f t="shared" si="28"/>
        <v/>
      </c>
      <c r="V41" t="str">
        <f t="shared" si="29"/>
        <v/>
      </c>
      <c r="W41">
        <f t="shared" si="30"/>
        <v>2.8332133440562162</v>
      </c>
      <c r="X41">
        <f t="shared" si="16"/>
        <v>2.9222480519021108</v>
      </c>
      <c r="Y41" t="str">
        <f t="shared" si="17"/>
        <v/>
      </c>
      <c r="Z41" t="str">
        <f t="shared" si="18"/>
        <v/>
      </c>
      <c r="AA41" t="str">
        <f t="shared" si="19"/>
        <v/>
      </c>
      <c r="AB41">
        <f t="shared" si="20"/>
        <v>14.727936391307814</v>
      </c>
      <c r="AC41">
        <f t="shared" si="21"/>
        <v>233.77984415216886</v>
      </c>
      <c r="AD41" t="str">
        <f t="shared" si="22"/>
        <v/>
      </c>
      <c r="AE41" t="str">
        <f t="shared" si="23"/>
        <v/>
      </c>
      <c r="AF41" t="str">
        <f t="shared" si="24"/>
        <v/>
      </c>
      <c r="AG41">
        <f t="shared" si="25"/>
        <v>471.29396452185006</v>
      </c>
      <c r="AH41">
        <v>33</v>
      </c>
      <c r="AI41" t="e">
        <f ca="1"/>
        <v>#N/A</v>
      </c>
      <c r="AJ41" t="e">
        <f ca="1"/>
        <v>#N/A</v>
      </c>
      <c r="AK41" t="e">
        <f t="shared" ca="1" si="31"/>
        <v>#N/A</v>
      </c>
      <c r="AL41" t="e">
        <f t="shared" ca="1" si="32"/>
        <v>#N/A</v>
      </c>
      <c r="AM41" t="e">
        <f t="shared" ca="1" si="33"/>
        <v>#N/A</v>
      </c>
      <c r="AN41">
        <v>17</v>
      </c>
      <c r="AO41">
        <f t="shared" ca="1" si="34"/>
        <v>856.68225124546791</v>
      </c>
      <c r="AY41">
        <v>7</v>
      </c>
      <c r="AZ41">
        <f t="shared" ca="1" si="35"/>
        <v>93.677097634838447</v>
      </c>
      <c r="BA41">
        <f t="shared" ca="1" si="36"/>
        <v>655.73968344386913</v>
      </c>
      <c r="BB41">
        <f ca="1">ABS(AZ41-'g)'!B16)</f>
        <v>0</v>
      </c>
      <c r="BC41">
        <f ca="1">ABS(BA41-'g)'!C16)</f>
        <v>655.73968344386913</v>
      </c>
    </row>
    <row r="42" spans="1:55" x14ac:dyDescent="0.3">
      <c r="A42">
        <v>5</v>
      </c>
      <c r="C42">
        <v>34</v>
      </c>
      <c r="D42">
        <v>82.5</v>
      </c>
      <c r="H42">
        <v>33</v>
      </c>
      <c r="I42">
        <f t="shared" si="6"/>
        <v>3</v>
      </c>
      <c r="J42" t="str">
        <f t="shared" si="7"/>
        <v/>
      </c>
      <c r="K42" t="str">
        <f t="shared" si="8"/>
        <v/>
      </c>
      <c r="L42" t="str">
        <f t="shared" si="9"/>
        <v/>
      </c>
      <c r="M42">
        <f t="shared" si="10"/>
        <v>17</v>
      </c>
      <c r="N42">
        <f t="shared" si="11"/>
        <v>247.5</v>
      </c>
      <c r="O42" t="str">
        <f t="shared" si="12"/>
        <v/>
      </c>
      <c r="P42" t="str">
        <f t="shared" si="13"/>
        <v/>
      </c>
      <c r="Q42" t="str">
        <f t="shared" si="14"/>
        <v/>
      </c>
      <c r="R42">
        <f t="shared" si="15"/>
        <v>561</v>
      </c>
      <c r="S42">
        <f t="shared" si="26"/>
        <v>1.0986122886681098</v>
      </c>
      <c r="T42" t="str">
        <f t="shared" si="27"/>
        <v/>
      </c>
      <c r="U42" t="str">
        <f t="shared" si="28"/>
        <v/>
      </c>
      <c r="V42" t="str">
        <f t="shared" si="29"/>
        <v/>
      </c>
      <c r="W42">
        <f t="shared" si="30"/>
        <v>2.8332133440562162</v>
      </c>
      <c r="X42">
        <f t="shared" si="16"/>
        <v>2.6375572398048983</v>
      </c>
      <c r="Y42" t="str">
        <f t="shared" si="17"/>
        <v/>
      </c>
      <c r="Z42" t="str">
        <f t="shared" si="18"/>
        <v/>
      </c>
      <c r="AA42" t="str">
        <f t="shared" si="19"/>
        <v/>
      </c>
      <c r="AB42">
        <f t="shared" si="20"/>
        <v>13.718511498182394</v>
      </c>
      <c r="AC42">
        <f t="shared" si="21"/>
        <v>217.5984722839041</v>
      </c>
      <c r="AD42" t="str">
        <f t="shared" si="22"/>
        <v/>
      </c>
      <c r="AE42" t="str">
        <f t="shared" si="23"/>
        <v/>
      </c>
      <c r="AF42" t="str">
        <f t="shared" si="24"/>
        <v/>
      </c>
      <c r="AG42">
        <f t="shared" si="25"/>
        <v>452.71087944001903</v>
      </c>
      <c r="AH42">
        <v>34</v>
      </c>
      <c r="AI42" t="e">
        <f ca="1"/>
        <v>#N/A</v>
      </c>
      <c r="AJ42" t="e">
        <f ca="1"/>
        <v>#N/A</v>
      </c>
      <c r="AK42" t="e">
        <f t="shared" ca="1" si="31"/>
        <v>#N/A</v>
      </c>
      <c r="AL42" t="e">
        <f t="shared" ca="1" si="32"/>
        <v>#N/A</v>
      </c>
      <c r="AM42" t="e">
        <f t="shared" ca="1" si="33"/>
        <v>#N/A</v>
      </c>
      <c r="AN42">
        <v>17.5</v>
      </c>
      <c r="AO42">
        <f t="shared" ca="1" si="34"/>
        <v>854.95994342526762</v>
      </c>
      <c r="AY42">
        <v>7.5</v>
      </c>
      <c r="AZ42">
        <f t="shared" ca="1" si="35"/>
        <v>90.817657913633852</v>
      </c>
      <c r="BA42">
        <f t="shared" ca="1" si="36"/>
        <v>681.13243435225388</v>
      </c>
      <c r="BB42">
        <f ca="1">ABS(AZ42-'g)'!B17)</f>
        <v>0</v>
      </c>
      <c r="BC42">
        <f ca="1">ABS(BA42-'g)'!C17)</f>
        <v>681.13243435225388</v>
      </c>
    </row>
    <row r="43" spans="1:55" x14ac:dyDescent="0.3">
      <c r="A43">
        <v>5</v>
      </c>
      <c r="C43">
        <v>35</v>
      </c>
      <c r="D43">
        <v>85</v>
      </c>
      <c r="H43">
        <v>34</v>
      </c>
      <c r="I43">
        <f t="shared" si="6"/>
        <v>3</v>
      </c>
      <c r="J43" t="str">
        <f t="shared" si="7"/>
        <v/>
      </c>
      <c r="K43" t="str">
        <f t="shared" si="8"/>
        <v/>
      </c>
      <c r="L43" t="str">
        <f t="shared" si="9"/>
        <v/>
      </c>
      <c r="M43">
        <f t="shared" si="10"/>
        <v>17</v>
      </c>
      <c r="N43">
        <f t="shared" si="11"/>
        <v>255</v>
      </c>
      <c r="O43" t="str">
        <f t="shared" si="12"/>
        <v/>
      </c>
      <c r="P43" t="str">
        <f t="shared" si="13"/>
        <v/>
      </c>
      <c r="Q43" t="str">
        <f t="shared" si="14"/>
        <v/>
      </c>
      <c r="R43">
        <f t="shared" si="15"/>
        <v>578</v>
      </c>
      <c r="S43">
        <f t="shared" si="26"/>
        <v>1.0986122886681098</v>
      </c>
      <c r="T43" t="str">
        <f t="shared" si="27"/>
        <v/>
      </c>
      <c r="U43" t="str">
        <f t="shared" si="28"/>
        <v/>
      </c>
      <c r="V43" t="str">
        <f t="shared" si="29"/>
        <v/>
      </c>
      <c r="W43">
        <f t="shared" si="30"/>
        <v>2.8332133440562162</v>
      </c>
      <c r="X43">
        <f t="shared" si="16"/>
        <v>2.3806015333705388</v>
      </c>
      <c r="Y43" t="str">
        <f t="shared" si="17"/>
        <v/>
      </c>
      <c r="Z43" t="str">
        <f t="shared" si="18"/>
        <v/>
      </c>
      <c r="AA43" t="str">
        <f t="shared" si="19"/>
        <v/>
      </c>
      <c r="AB43">
        <f t="shared" si="20"/>
        <v>12.778270677271106</v>
      </c>
      <c r="AC43">
        <f t="shared" si="21"/>
        <v>202.3511303364958</v>
      </c>
      <c r="AD43" t="str">
        <f t="shared" si="22"/>
        <v/>
      </c>
      <c r="AE43" t="str">
        <f t="shared" si="23"/>
        <v/>
      </c>
      <c r="AF43" t="str">
        <f t="shared" si="24"/>
        <v/>
      </c>
      <c r="AG43">
        <f t="shared" si="25"/>
        <v>434.46120302721761</v>
      </c>
      <c r="AH43">
        <v>35</v>
      </c>
      <c r="AI43" t="e">
        <f ca="1"/>
        <v>#N/A</v>
      </c>
      <c r="AJ43" t="e">
        <f ca="1"/>
        <v>#N/A</v>
      </c>
      <c r="AK43" t="e">
        <f t="shared" ca="1" si="31"/>
        <v>#N/A</v>
      </c>
      <c r="AL43" t="e">
        <f t="shared" ca="1" si="32"/>
        <v>#N/A</v>
      </c>
      <c r="AM43" t="e">
        <f t="shared" ca="1" si="33"/>
        <v>#N/A</v>
      </c>
      <c r="AN43">
        <v>18</v>
      </c>
      <c r="AO43">
        <f t="shared" ca="1" si="34"/>
        <v>852.54457485523687</v>
      </c>
      <c r="AY43">
        <v>8</v>
      </c>
      <c r="AZ43">
        <f t="shared" ca="1" si="35"/>
        <v>88.045500951242644</v>
      </c>
      <c r="BA43">
        <f t="shared" ca="1" si="36"/>
        <v>704.36400760994115</v>
      </c>
      <c r="BB43">
        <f ca="1">ABS(AZ43-'g)'!B18)</f>
        <v>0</v>
      </c>
      <c r="BC43">
        <f ca="1">ABS(BA43-'g)'!C18)</f>
        <v>704.36400760994115</v>
      </c>
    </row>
    <row r="44" spans="1:55" x14ac:dyDescent="0.3">
      <c r="A44">
        <v>5</v>
      </c>
      <c r="C44">
        <v>36</v>
      </c>
      <c r="D44">
        <v>87.5</v>
      </c>
      <c r="H44">
        <v>35</v>
      </c>
      <c r="I44">
        <f t="shared" si="6"/>
        <v>3</v>
      </c>
      <c r="J44" t="str">
        <f t="shared" si="7"/>
        <v/>
      </c>
      <c r="K44" t="str">
        <f t="shared" si="8"/>
        <v/>
      </c>
      <c r="L44" t="str">
        <f t="shared" si="9"/>
        <v/>
      </c>
      <c r="M44">
        <f t="shared" si="10"/>
        <v>17</v>
      </c>
      <c r="N44">
        <f t="shared" si="11"/>
        <v>262.5</v>
      </c>
      <c r="O44" t="str">
        <f t="shared" si="12"/>
        <v/>
      </c>
      <c r="P44" t="str">
        <f t="shared" si="13"/>
        <v/>
      </c>
      <c r="Q44" t="str">
        <f t="shared" si="14"/>
        <v/>
      </c>
      <c r="R44">
        <f t="shared" si="15"/>
        <v>595</v>
      </c>
      <c r="S44">
        <f t="shared" si="26"/>
        <v>1.0986122886681098</v>
      </c>
      <c r="T44" t="str">
        <f t="shared" si="27"/>
        <v/>
      </c>
      <c r="U44" t="str">
        <f t="shared" si="28"/>
        <v/>
      </c>
      <c r="V44" t="str">
        <f t="shared" si="29"/>
        <v/>
      </c>
      <c r="W44">
        <f t="shared" si="30"/>
        <v>2.8332133440562162</v>
      </c>
      <c r="X44">
        <f t="shared" si="16"/>
        <v>2.1486789272885582</v>
      </c>
      <c r="Y44" t="str">
        <f t="shared" si="17"/>
        <v/>
      </c>
      <c r="Z44" t="str">
        <f t="shared" si="18"/>
        <v/>
      </c>
      <c r="AA44" t="str">
        <f t="shared" si="19"/>
        <v/>
      </c>
      <c r="AB44">
        <f t="shared" si="20"/>
        <v>11.90247218316947</v>
      </c>
      <c r="AC44">
        <f t="shared" si="21"/>
        <v>188.00940613774884</v>
      </c>
      <c r="AD44" t="str">
        <f t="shared" si="22"/>
        <v/>
      </c>
      <c r="AE44" t="str">
        <f t="shared" si="23"/>
        <v/>
      </c>
      <c r="AF44" t="str">
        <f t="shared" si="24"/>
        <v/>
      </c>
      <c r="AG44">
        <f t="shared" si="25"/>
        <v>416.58652641093147</v>
      </c>
      <c r="AH44">
        <v>36</v>
      </c>
      <c r="AI44" t="e">
        <f ca="1"/>
        <v>#N/A</v>
      </c>
      <c r="AJ44" t="e">
        <f ca="1"/>
        <v>#N/A</v>
      </c>
      <c r="AK44" t="e">
        <f t="shared" ca="1" si="31"/>
        <v>#N/A</v>
      </c>
      <c r="AL44" t="e">
        <f t="shared" ca="1" si="32"/>
        <v>#N/A</v>
      </c>
      <c r="AM44" t="e">
        <f t="shared" ca="1" si="33"/>
        <v>#N/A</v>
      </c>
      <c r="AN44">
        <v>18.5</v>
      </c>
      <c r="AO44">
        <f t="shared" ca="1" si="34"/>
        <v>849.48006084398867</v>
      </c>
      <c r="AY44">
        <v>8.5</v>
      </c>
      <c r="AZ44">
        <f t="shared" ca="1" si="35"/>
        <v>85.357962491471753</v>
      </c>
      <c r="BA44">
        <f t="shared" ca="1" si="36"/>
        <v>725.54268117750985</v>
      </c>
      <c r="BB44">
        <f ca="1">ABS(AZ44-'g)'!B19)</f>
        <v>0</v>
      </c>
      <c r="BC44">
        <f ca="1">ABS(BA44-'g)'!C19)</f>
        <v>725.54268117750985</v>
      </c>
    </row>
    <row r="45" spans="1:55" x14ac:dyDescent="0.3">
      <c r="A45">
        <v>5</v>
      </c>
      <c r="C45">
        <v>37</v>
      </c>
      <c r="D45">
        <v>90</v>
      </c>
      <c r="I45">
        <f t="shared" si="6"/>
        <v>3</v>
      </c>
      <c r="J45" t="str">
        <f t="shared" si="7"/>
        <v/>
      </c>
      <c r="K45" t="str">
        <f t="shared" si="8"/>
        <v/>
      </c>
      <c r="L45" t="str">
        <f t="shared" si="9"/>
        <v/>
      </c>
      <c r="M45" t="str">
        <f t="shared" si="10"/>
        <v/>
      </c>
      <c r="N45">
        <f t="shared" si="11"/>
        <v>270</v>
      </c>
      <c r="O45" t="str">
        <f t="shared" si="12"/>
        <v/>
      </c>
      <c r="P45" t="str">
        <f t="shared" si="13"/>
        <v/>
      </c>
      <c r="Q45" t="str">
        <f t="shared" si="14"/>
        <v/>
      </c>
      <c r="R45" t="str">
        <f t="shared" si="15"/>
        <v/>
      </c>
      <c r="S45">
        <f t="shared" si="26"/>
        <v>1.0986122886681098</v>
      </c>
      <c r="T45" t="str">
        <f t="shared" si="27"/>
        <v/>
      </c>
      <c r="U45" t="str">
        <f t="shared" si="28"/>
        <v/>
      </c>
      <c r="V45" t="str">
        <f t="shared" si="29"/>
        <v/>
      </c>
      <c r="W45" t="str">
        <f t="shared" si="30"/>
        <v/>
      </c>
      <c r="X45">
        <f t="shared" si="16"/>
        <v>1.9393506506052085</v>
      </c>
      <c r="Y45" t="str">
        <f t="shared" si="17"/>
        <v/>
      </c>
      <c r="Z45" t="str">
        <f t="shared" si="18"/>
        <v/>
      </c>
      <c r="AA45" t="str">
        <f t="shared" si="19"/>
        <v/>
      </c>
      <c r="AB45" t="str">
        <f t="shared" si="20"/>
        <v/>
      </c>
      <c r="AC45">
        <f t="shared" si="21"/>
        <v>174.54155855446876</v>
      </c>
      <c r="AD45" t="str">
        <f t="shared" si="22"/>
        <v/>
      </c>
      <c r="AE45" t="str">
        <f t="shared" si="23"/>
        <v/>
      </c>
      <c r="AF45" t="str">
        <f t="shared" si="24"/>
        <v/>
      </c>
      <c r="AG45" t="str">
        <f t="shared" si="25"/>
        <v/>
      </c>
      <c r="AH45">
        <v>37</v>
      </c>
      <c r="AI45" t="e">
        <f ca="1"/>
        <v>#N/A</v>
      </c>
      <c r="AJ45" t="e">
        <f ca="1"/>
        <v>#N/A</v>
      </c>
      <c r="AK45" t="e">
        <f t="shared" ca="1" si="31"/>
        <v>#N/A</v>
      </c>
      <c r="AL45" t="e">
        <f t="shared" ca="1" si="32"/>
        <v>#N/A</v>
      </c>
      <c r="AM45" t="e">
        <f t="shared" ca="1" si="33"/>
        <v>#N/A</v>
      </c>
      <c r="AN45">
        <v>19</v>
      </c>
      <c r="AO45">
        <f t="shared" ca="1" si="34"/>
        <v>845.80828147374496</v>
      </c>
      <c r="AY45">
        <v>9</v>
      </c>
      <c r="AZ45">
        <f t="shared" ca="1" si="35"/>
        <v>82.752459603021492</v>
      </c>
      <c r="BA45">
        <f t="shared" ca="1" si="36"/>
        <v>744.77213642719346</v>
      </c>
      <c r="BB45">
        <f ca="1">ABS(AZ45-'g)'!B20)</f>
        <v>0</v>
      </c>
      <c r="BC45">
        <f ca="1">ABS(BA45-'g)'!C20)</f>
        <v>744.77213642719346</v>
      </c>
    </row>
    <row r="46" spans="1:55" x14ac:dyDescent="0.3">
      <c r="A46">
        <v>5</v>
      </c>
      <c r="C46">
        <v>38</v>
      </c>
      <c r="D46">
        <v>92.5</v>
      </c>
      <c r="I46">
        <f t="shared" si="6"/>
        <v>3</v>
      </c>
      <c r="J46" t="str">
        <f t="shared" si="7"/>
        <v/>
      </c>
      <c r="K46" t="str">
        <f t="shared" si="8"/>
        <v/>
      </c>
      <c r="L46" t="str">
        <f t="shared" si="9"/>
        <v/>
      </c>
      <c r="M46" t="str">
        <f t="shared" si="10"/>
        <v/>
      </c>
      <c r="N46">
        <f t="shared" si="11"/>
        <v>277.5</v>
      </c>
      <c r="O46" t="str">
        <f t="shared" si="12"/>
        <v/>
      </c>
      <c r="P46" t="str">
        <f t="shared" si="13"/>
        <v/>
      </c>
      <c r="Q46" t="str">
        <f t="shared" si="14"/>
        <v/>
      </c>
      <c r="R46" t="str">
        <f t="shared" si="15"/>
        <v/>
      </c>
      <c r="S46">
        <f t="shared" si="26"/>
        <v>1.0986122886681098</v>
      </c>
      <c r="T46" t="str">
        <f t="shared" si="27"/>
        <v/>
      </c>
      <c r="U46" t="str">
        <f t="shared" si="28"/>
        <v/>
      </c>
      <c r="V46" t="str">
        <f t="shared" si="29"/>
        <v/>
      </c>
      <c r="W46" t="str">
        <f t="shared" si="30"/>
        <v/>
      </c>
      <c r="X46">
        <f t="shared" si="16"/>
        <v>1.7504155219453814</v>
      </c>
      <c r="Y46" t="str">
        <f t="shared" si="17"/>
        <v/>
      </c>
      <c r="Z46" t="str">
        <f t="shared" si="18"/>
        <v/>
      </c>
      <c r="AA46" t="str">
        <f t="shared" si="19"/>
        <v/>
      </c>
      <c r="AB46" t="str">
        <f t="shared" si="20"/>
        <v/>
      </c>
      <c r="AC46">
        <f t="shared" si="21"/>
        <v>161.91343577994778</v>
      </c>
      <c r="AD46" t="str">
        <f t="shared" si="22"/>
        <v/>
      </c>
      <c r="AE46" t="str">
        <f t="shared" si="23"/>
        <v/>
      </c>
      <c r="AF46" t="str">
        <f t="shared" si="24"/>
        <v/>
      </c>
      <c r="AG46" t="str">
        <f t="shared" si="25"/>
        <v/>
      </c>
      <c r="AH46">
        <v>38</v>
      </c>
      <c r="AI46" t="e">
        <f ca="1"/>
        <v>#N/A</v>
      </c>
      <c r="AJ46" t="e">
        <f ca="1"/>
        <v>#N/A</v>
      </c>
      <c r="AK46" t="e">
        <f t="shared" ca="1" si="31"/>
        <v>#N/A</v>
      </c>
      <c r="AL46" t="e">
        <f t="shared" ca="1" si="32"/>
        <v>#N/A</v>
      </c>
      <c r="AM46" t="e">
        <f t="shared" ca="1" si="33"/>
        <v>#N/A</v>
      </c>
      <c r="AN46">
        <v>19.5</v>
      </c>
      <c r="AO46">
        <f t="shared" ca="1" si="34"/>
        <v>841.56916493089727</v>
      </c>
      <c r="AY46">
        <v>9.5</v>
      </c>
      <c r="AZ46">
        <f t="shared" ca="1" si="35"/>
        <v>80.226488197089964</v>
      </c>
      <c r="BA46">
        <f t="shared" ca="1" si="36"/>
        <v>762.15163787235463</v>
      </c>
      <c r="BB46">
        <f ca="1">ABS(AZ46-'g)'!B21)</f>
        <v>0</v>
      </c>
      <c r="BC46">
        <f ca="1">ABS(BA46-'g)'!C21)</f>
        <v>762.15163787235463</v>
      </c>
    </row>
    <row r="47" spans="1:55" x14ac:dyDescent="0.3">
      <c r="A47">
        <v>5</v>
      </c>
      <c r="C47">
        <v>39</v>
      </c>
      <c r="D47">
        <v>95</v>
      </c>
      <c r="I47">
        <f t="shared" si="6"/>
        <v>3</v>
      </c>
      <c r="J47" t="str">
        <f t="shared" si="7"/>
        <v/>
      </c>
      <c r="K47" t="str">
        <f t="shared" si="8"/>
        <v/>
      </c>
      <c r="L47" t="str">
        <f t="shared" si="9"/>
        <v/>
      </c>
      <c r="M47" t="str">
        <f t="shared" si="10"/>
        <v/>
      </c>
      <c r="N47">
        <f t="shared" si="11"/>
        <v>285</v>
      </c>
      <c r="O47" t="str">
        <f t="shared" si="12"/>
        <v/>
      </c>
      <c r="P47" t="str">
        <f t="shared" si="13"/>
        <v/>
      </c>
      <c r="Q47" t="str">
        <f t="shared" si="14"/>
        <v/>
      </c>
      <c r="R47" t="str">
        <f t="shared" si="15"/>
        <v/>
      </c>
      <c r="S47">
        <f t="shared" si="26"/>
        <v>1.0986122886681098</v>
      </c>
      <c r="T47" t="str">
        <f t="shared" si="27"/>
        <v/>
      </c>
      <c r="U47" t="str">
        <f t="shared" si="28"/>
        <v/>
      </c>
      <c r="V47" t="str">
        <f t="shared" si="29"/>
        <v/>
      </c>
      <c r="W47" t="str">
        <f t="shared" si="30"/>
        <v/>
      </c>
      <c r="X47">
        <f t="shared" si="16"/>
        <v>1.5798868030962641</v>
      </c>
      <c r="Y47" t="str">
        <f t="shared" si="17"/>
        <v/>
      </c>
      <c r="Z47" t="str">
        <f t="shared" si="18"/>
        <v/>
      </c>
      <c r="AA47" t="str">
        <f t="shared" si="19"/>
        <v/>
      </c>
      <c r="AB47" t="str">
        <f t="shared" si="20"/>
        <v/>
      </c>
      <c r="AC47">
        <f t="shared" si="21"/>
        <v>150.08924629414508</v>
      </c>
      <c r="AD47" t="str">
        <f t="shared" si="22"/>
        <v/>
      </c>
      <c r="AE47" t="str">
        <f t="shared" si="23"/>
        <v/>
      </c>
      <c r="AF47" t="str">
        <f t="shared" si="24"/>
        <v/>
      </c>
      <c r="AG47" t="str">
        <f t="shared" si="25"/>
        <v/>
      </c>
      <c r="AH47">
        <v>39</v>
      </c>
      <c r="AI47" t="e">
        <f ca="1"/>
        <v>#N/A</v>
      </c>
      <c r="AJ47" t="e">
        <f ca="1"/>
        <v>#N/A</v>
      </c>
      <c r="AK47" t="e">
        <f t="shared" ca="1" si="31"/>
        <v>#N/A</v>
      </c>
      <c r="AL47" t="e">
        <f t="shared" ca="1" si="32"/>
        <v>#N/A</v>
      </c>
      <c r="AM47" t="e">
        <f t="shared" ca="1" si="33"/>
        <v>#N/A</v>
      </c>
      <c r="AN47">
        <v>20</v>
      </c>
      <c r="AO47">
        <f t="shared" ca="1" si="34"/>
        <v>836.80076764563501</v>
      </c>
      <c r="AY47">
        <v>10</v>
      </c>
      <c r="AZ47">
        <f t="shared" ca="1" si="35"/>
        <v>77.777620620750824</v>
      </c>
      <c r="BA47">
        <f t="shared" ca="1" si="36"/>
        <v>777.77620620750827</v>
      </c>
      <c r="BB47">
        <f ca="1">ABS(AZ47-'g)'!B22)</f>
        <v>0</v>
      </c>
      <c r="BC47">
        <f ca="1">ABS(BA47-'g)'!C22)</f>
        <v>777.77620620750827</v>
      </c>
    </row>
    <row r="48" spans="1:55" x14ac:dyDescent="0.3">
      <c r="A48">
        <v>5</v>
      </c>
      <c r="C48">
        <v>40</v>
      </c>
      <c r="D48">
        <v>97.5</v>
      </c>
      <c r="I48">
        <f t="shared" si="6"/>
        <v>3</v>
      </c>
      <c r="J48" t="str">
        <f t="shared" si="7"/>
        <v/>
      </c>
      <c r="K48" t="str">
        <f t="shared" si="8"/>
        <v/>
      </c>
      <c r="L48" t="str">
        <f t="shared" si="9"/>
        <v/>
      </c>
      <c r="M48" t="str">
        <f t="shared" si="10"/>
        <v/>
      </c>
      <c r="N48">
        <f t="shared" si="11"/>
        <v>292.5</v>
      </c>
      <c r="O48" t="str">
        <f t="shared" si="12"/>
        <v/>
      </c>
      <c r="P48" t="str">
        <f t="shared" si="13"/>
        <v/>
      </c>
      <c r="Q48" t="str">
        <f t="shared" si="14"/>
        <v/>
      </c>
      <c r="R48" t="str">
        <f t="shared" si="15"/>
        <v/>
      </c>
      <c r="S48">
        <f t="shared" si="26"/>
        <v>1.0986122886681098</v>
      </c>
      <c r="T48" t="str">
        <f t="shared" si="27"/>
        <v/>
      </c>
      <c r="U48" t="str">
        <f t="shared" si="28"/>
        <v/>
      </c>
      <c r="V48" t="str">
        <f t="shared" si="29"/>
        <v/>
      </c>
      <c r="W48" t="str">
        <f t="shared" si="30"/>
        <v/>
      </c>
      <c r="X48">
        <f t="shared" si="16"/>
        <v>1.4259713075576905</v>
      </c>
      <c r="Y48" t="str">
        <f t="shared" si="17"/>
        <v/>
      </c>
      <c r="Z48" t="str">
        <f t="shared" si="18"/>
        <v/>
      </c>
      <c r="AA48" t="str">
        <f t="shared" si="19"/>
        <v/>
      </c>
      <c r="AB48" t="str">
        <f t="shared" si="20"/>
        <v/>
      </c>
      <c r="AC48">
        <f t="shared" si="21"/>
        <v>139.03220248687484</v>
      </c>
      <c r="AD48" t="str">
        <f t="shared" si="22"/>
        <v/>
      </c>
      <c r="AE48" t="str">
        <f t="shared" si="23"/>
        <v/>
      </c>
      <c r="AF48" t="str">
        <f t="shared" si="24"/>
        <v/>
      </c>
      <c r="AG48" t="str">
        <f t="shared" si="25"/>
        <v/>
      </c>
      <c r="AH48">
        <v>40</v>
      </c>
      <c r="AI48" t="e">
        <f ca="1"/>
        <v>#N/A</v>
      </c>
      <c r="AJ48" t="e">
        <f ca="1"/>
        <v>#N/A</v>
      </c>
      <c r="AK48" t="e">
        <f t="shared" ca="1" si="31"/>
        <v>#N/A</v>
      </c>
      <c r="AL48" t="e">
        <f t="shared" ca="1" si="32"/>
        <v>#N/A</v>
      </c>
      <c r="AM48" t="e">
        <f t="shared" ca="1" si="33"/>
        <v>#N/A</v>
      </c>
      <c r="AN48">
        <v>20.5</v>
      </c>
      <c r="AO48">
        <f t="shared" ca="1" si="34"/>
        <v>831.53935135780353</v>
      </c>
      <c r="AY48">
        <v>10.5</v>
      </c>
      <c r="AZ48">
        <f t="shared" ca="1" si="35"/>
        <v>75.403503323792137</v>
      </c>
      <c r="BA48">
        <f t="shared" ca="1" si="36"/>
        <v>791.73678489981739</v>
      </c>
      <c r="BB48">
        <f ca="1">ABS(AZ48-'g)'!B23)</f>
        <v>0</v>
      </c>
      <c r="BC48">
        <f ca="1">ABS(BA48-'g)'!C23)</f>
        <v>791.73678489981739</v>
      </c>
    </row>
    <row r="49" spans="1:55" x14ac:dyDescent="0.3">
      <c r="A49">
        <v>5</v>
      </c>
      <c r="C49">
        <v>41</v>
      </c>
      <c r="D49">
        <v>100</v>
      </c>
      <c r="I49">
        <f t="shared" si="6"/>
        <v>3</v>
      </c>
      <c r="J49" t="str">
        <f t="shared" si="7"/>
        <v/>
      </c>
      <c r="K49" t="str">
        <f t="shared" si="8"/>
        <v/>
      </c>
      <c r="L49" t="str">
        <f t="shared" si="9"/>
        <v/>
      </c>
      <c r="M49" t="str">
        <f t="shared" si="10"/>
        <v/>
      </c>
      <c r="N49">
        <f t="shared" si="11"/>
        <v>300</v>
      </c>
      <c r="O49" t="str">
        <f t="shared" si="12"/>
        <v/>
      </c>
      <c r="P49" t="str">
        <f t="shared" si="13"/>
        <v/>
      </c>
      <c r="Q49" t="str">
        <f t="shared" si="14"/>
        <v/>
      </c>
      <c r="R49" t="str">
        <f t="shared" si="15"/>
        <v/>
      </c>
      <c r="S49">
        <f t="shared" ref="S49" si="37">IF(I49="","",LN(I49))</f>
        <v>1.0986122886681098</v>
      </c>
      <c r="T49" t="str">
        <f t="shared" ref="T49" si="38">IF(J49="","",LN(J49))</f>
        <v/>
      </c>
      <c r="U49" t="str">
        <f t="shared" ref="U49" si="39">IF(K49="","",LN(K49))</f>
        <v/>
      </c>
      <c r="V49" t="str">
        <f t="shared" ref="V49" si="40">IF(L49="","",LN(L49))</f>
        <v/>
      </c>
      <c r="W49" t="str">
        <f t="shared" ref="W49" si="41">IF(M49="","",LN(M49))</f>
        <v/>
      </c>
      <c r="X49">
        <f t="shared" si="16"/>
        <v>1.2870505443761795</v>
      </c>
      <c r="Y49" t="str">
        <f t="shared" si="17"/>
        <v/>
      </c>
      <c r="Z49" t="str">
        <f t="shared" si="18"/>
        <v/>
      </c>
      <c r="AA49" t="str">
        <f t="shared" si="19"/>
        <v/>
      </c>
      <c r="AB49" t="str">
        <f t="shared" si="20"/>
        <v/>
      </c>
      <c r="AC49">
        <f t="shared" si="21"/>
        <v>128.70505443761795</v>
      </c>
      <c r="AD49" t="str">
        <f t="shared" si="22"/>
        <v/>
      </c>
      <c r="AE49" t="str">
        <f t="shared" si="23"/>
        <v/>
      </c>
      <c r="AF49" t="str">
        <f t="shared" si="24"/>
        <v/>
      </c>
      <c r="AG49" t="str">
        <f t="shared" si="25"/>
        <v/>
      </c>
      <c r="AH49">
        <v>41</v>
      </c>
      <c r="AI49" t="e">
        <f ca="1"/>
        <v>#N/A</v>
      </c>
      <c r="AJ49" t="e">
        <f ca="1"/>
        <v>#N/A</v>
      </c>
      <c r="AK49" t="e">
        <f t="shared" ca="1" si="31"/>
        <v>#N/A</v>
      </c>
      <c r="AL49" t="e">
        <f t="shared" ca="1" si="32"/>
        <v>#N/A</v>
      </c>
      <c r="AM49" t="e">
        <f t="shared" ca="1" si="33"/>
        <v>#N/A</v>
      </c>
      <c r="AN49">
        <v>21</v>
      </c>
      <c r="AO49">
        <f t="shared" ca="1" si="34"/>
        <v>825.8194572219677</v>
      </c>
      <c r="AY49">
        <v>11</v>
      </c>
      <c r="AZ49">
        <f t="shared" ca="1" si="35"/>
        <v>73.101854596773407</v>
      </c>
      <c r="BA49">
        <f t="shared" ca="1" si="36"/>
        <v>804.12040056450746</v>
      </c>
      <c r="BB49">
        <f ca="1">ABS(AZ49-'g)'!B24)</f>
        <v>0</v>
      </c>
      <c r="BC49">
        <f ca="1">ABS(BA49-'g)'!C24)</f>
        <v>804.12040056450746</v>
      </c>
    </row>
    <row r="50" spans="1:55" x14ac:dyDescent="0.3">
      <c r="A50">
        <v>5</v>
      </c>
      <c r="AN50">
        <v>21.5</v>
      </c>
      <c r="AO50">
        <f t="shared" ca="1" si="34"/>
        <v>819.67397706063809</v>
      </c>
      <c r="AY50">
        <v>11.5</v>
      </c>
      <c r="AZ50">
        <f t="shared" ca="1" si="35"/>
        <v>70.870462378127215</v>
      </c>
      <c r="BA50">
        <f t="shared" ca="1" si="36"/>
        <v>815.01031734846299</v>
      </c>
      <c r="BB50">
        <f ca="1">ABS(AZ50-'g)'!B25)</f>
        <v>0</v>
      </c>
      <c r="BC50">
        <f ca="1">ABS(BA50-'g)'!C25)</f>
        <v>815.01031734846299</v>
      </c>
    </row>
    <row r="51" spans="1:55" x14ac:dyDescent="0.3">
      <c r="A51">
        <v>5</v>
      </c>
      <c r="AN51">
        <v>22</v>
      </c>
      <c r="AO51">
        <f t="shared" ca="1" si="34"/>
        <v>813.13422187070159</v>
      </c>
      <c r="AY51">
        <v>12</v>
      </c>
      <c r="AZ51">
        <f t="shared" ca="1" si="35"/>
        <v>68.707182128197829</v>
      </c>
      <c r="BA51">
        <f t="shared" ca="1" si="36"/>
        <v>824.486185538374</v>
      </c>
      <c r="BB51">
        <f ca="1">ABS(AZ51-'g)'!B26)</f>
        <v>0</v>
      </c>
      <c r="BC51">
        <f ca="1">ABS(BA51-'g)'!C26)</f>
        <v>824.486185538374</v>
      </c>
    </row>
    <row r="52" spans="1:55" x14ac:dyDescent="0.3">
      <c r="A52">
        <v>5</v>
      </c>
      <c r="AN52">
        <v>22.5</v>
      </c>
      <c r="AO52">
        <f t="shared" ca="1" si="34"/>
        <v>806.22998768436821</v>
      </c>
      <c r="AY52">
        <v>12.5</v>
      </c>
      <c r="AZ52">
        <f t="shared" ca="1" si="35"/>
        <v>66.609934768173474</v>
      </c>
      <c r="BA52">
        <f t="shared" ca="1" si="36"/>
        <v>832.62418460216838</v>
      </c>
      <c r="BB52">
        <f ca="1">ABS(AZ52-'g)'!B27)</f>
        <v>0</v>
      </c>
      <c r="BC52">
        <f ca="1">ABS(BA52-'g)'!C27)</f>
        <v>832.62418460216838</v>
      </c>
    </row>
    <row r="53" spans="1:55" x14ac:dyDescent="0.3">
      <c r="A53">
        <v>5</v>
      </c>
      <c r="AN53">
        <v>23</v>
      </c>
      <c r="AO53">
        <f t="shared" ca="1" si="34"/>
        <v>798.98961888229996</v>
      </c>
      <c r="AY53">
        <v>13</v>
      </c>
      <c r="AZ53">
        <f t="shared" ca="1" si="35"/>
        <v>64.576704681931687</v>
      </c>
      <c r="BA53">
        <f t="shared" ca="1" si="36"/>
        <v>839.49716086511194</v>
      </c>
      <c r="BB53">
        <f ca="1">ABS(AZ53-'g)'!B28)</f>
        <v>0</v>
      </c>
      <c r="BC53">
        <f ca="1">ABS(BA53-'g)'!C28)</f>
        <v>839.49716086511194</v>
      </c>
    </row>
    <row r="54" spans="1:55" x14ac:dyDescent="0.3">
      <c r="A54">
        <v>5</v>
      </c>
      <c r="AN54">
        <v>23.5</v>
      </c>
      <c r="AO54">
        <f t="shared" ca="1" si="34"/>
        <v>791.44006905309823</v>
      </c>
      <c r="AY54">
        <v>13.5</v>
      </c>
      <c r="AZ54">
        <f t="shared" ca="1" si="35"/>
        <v>62.605537778877014</v>
      </c>
      <c r="BA54">
        <f t="shared" ca="1" si="36"/>
        <v>845.17476001483965</v>
      </c>
      <c r="BB54">
        <f ca="1">ABS(AZ54-'g)'!B29)</f>
        <v>0</v>
      </c>
      <c r="BC54">
        <f ca="1">ABS(BA54-'g)'!C29)</f>
        <v>845.17476001483965</v>
      </c>
    </row>
    <row r="55" spans="1:55" x14ac:dyDescent="0.3">
      <c r="A55">
        <v>5</v>
      </c>
      <c r="AN55">
        <v>24</v>
      </c>
      <c r="AO55">
        <f t="shared" ca="1" si="34"/>
        <v>783.60695948995613</v>
      </c>
      <c r="AY55">
        <v>14</v>
      </c>
      <c r="AZ55">
        <f t="shared" ca="1" si="35"/>
        <v>60.694539615909584</v>
      </c>
      <c r="BA55">
        <f t="shared" ca="1" si="36"/>
        <v>849.72355462273413</v>
      </c>
      <c r="BB55">
        <f ca="1">ABS(AZ55-'g)'!B30)</f>
        <v>0</v>
      </c>
      <c r="BC55">
        <f ca="1">ABS(BA55-'g)'!C30)</f>
        <v>849.72355462273413</v>
      </c>
    </row>
    <row r="56" spans="1:55" x14ac:dyDescent="0.3">
      <c r="A56">
        <v>5</v>
      </c>
      <c r="AN56">
        <v>24.5</v>
      </c>
      <c r="AO56">
        <f t="shared" ca="1" si="34"/>
        <v>775.51463541201019</v>
      </c>
      <c r="AY56">
        <v>14.5</v>
      </c>
      <c r="AZ56">
        <f t="shared" ca="1" si="35"/>
        <v>58.8418735767195</v>
      </c>
      <c r="BA56">
        <f t="shared" ca="1" si="36"/>
        <v>853.2071668624327</v>
      </c>
      <c r="BB56">
        <f ca="1">ABS(AZ56-'g)'!B31)</f>
        <v>0</v>
      </c>
      <c r="BC56">
        <f ca="1">ABS(BA56-'g)'!C31)</f>
        <v>853.2071668624327</v>
      </c>
    </row>
    <row r="57" spans="1:55" x14ac:dyDescent="0.3">
      <c r="A57">
        <v>5</v>
      </c>
      <c r="AN57">
        <v>25</v>
      </c>
      <c r="AO57">
        <f t="shared" ca="1" si="34"/>
        <v>767.18621999479967</v>
      </c>
      <c r="AY57">
        <v>15</v>
      </c>
      <c r="AZ57">
        <f t="shared" ca="1" si="35"/>
        <v>57.045759106657208</v>
      </c>
      <c r="BA57">
        <f t="shared" ca="1" si="36"/>
        <v>855.68638659985811</v>
      </c>
      <c r="BB57">
        <f ca="1">ABS(AZ57-'g)'!B32)</f>
        <v>0</v>
      </c>
      <c r="BC57">
        <f ca="1">ABS(BA57-'g)'!C32)</f>
        <v>855.68638659985811</v>
      </c>
    </row>
    <row r="58" spans="1:55" x14ac:dyDescent="0.3">
      <c r="A58">
        <v>5</v>
      </c>
      <c r="AN58">
        <v>25.5</v>
      </c>
      <c r="AO58">
        <f t="shared" ca="1" si="34"/>
        <v>758.64366629119843</v>
      </c>
      <c r="AY58">
        <v>15.5</v>
      </c>
      <c r="AZ58">
        <f t="shared" ca="1" si="35"/>
        <v>55.304470001483423</v>
      </c>
      <c r="BA58">
        <f t="shared" ca="1" si="36"/>
        <v>857.21928502299306</v>
      </c>
      <c r="BB58">
        <f ca="1">ABS(AZ58-'g)'!B33)</f>
        <v>0</v>
      </c>
      <c r="BC58">
        <f ca="1">ABS(BA58-'g)'!C33)</f>
        <v>857.21928502299306</v>
      </c>
    </row>
    <row r="59" spans="1:55" x14ac:dyDescent="0.3">
      <c r="A59">
        <v>5</v>
      </c>
      <c r="AN59">
        <v>26</v>
      </c>
      <c r="AO59">
        <f t="shared" ca="1" si="34"/>
        <v>749.90780712125797</v>
      </c>
      <c r="AY59">
        <v>16</v>
      </c>
      <c r="AZ59">
        <f t="shared" ca="1" si="35"/>
        <v>53.616332748354019</v>
      </c>
      <c r="BA59">
        <f t="shared" ca="1" si="36"/>
        <v>857.8613239736643</v>
      </c>
      <c r="BB59">
        <f ca="1">ABS(AZ59-'g)'!B34)</f>
        <v>0</v>
      </c>
      <c r="BC59">
        <f ca="1">ABS(BA59-'g)'!C34)</f>
        <v>857.8613239736643</v>
      </c>
    </row>
    <row r="60" spans="1:55" x14ac:dyDescent="0.3">
      <c r="A60">
        <v>5</v>
      </c>
      <c r="AN60">
        <v>26.5</v>
      </c>
      <c r="AO60">
        <f t="shared" ca="1" si="34"/>
        <v>740.99840300658809</v>
      </c>
      <c r="AY60">
        <v>16.5</v>
      </c>
      <c r="AZ60">
        <f t="shared" ca="1" si="35"/>
        <v>51.979724917445417</v>
      </c>
      <c r="BA60">
        <f t="shared" ca="1" si="36"/>
        <v>857.66546113784932</v>
      </c>
      <c r="BB60">
        <f ca="1">ABS(AZ60-'g)'!B35)</f>
        <v>0</v>
      </c>
      <c r="BC60">
        <f ca="1">ABS(BA60-'g)'!C35)</f>
        <v>857.66546113784932</v>
      </c>
    </row>
    <row r="61" spans="1:55" x14ac:dyDescent="0.3">
      <c r="A61">
        <v>5</v>
      </c>
      <c r="AN61">
        <v>27</v>
      </c>
      <c r="AO61">
        <f t="shared" ca="1" si="34"/>
        <v>731.93418822216097</v>
      </c>
      <c r="AY61">
        <v>17</v>
      </c>
      <c r="AZ61">
        <f t="shared" ca="1" si="35"/>
        <v>50.393073602674583</v>
      </c>
      <c r="BA61">
        <f t="shared" ca="1" si="36"/>
        <v>856.68225124546791</v>
      </c>
      <c r="BB61">
        <f ca="1">ABS(AZ61-'g)'!B36)</f>
        <v>0</v>
      </c>
      <c r="BC61">
        <f ca="1">ABS(BA61-'g)'!C36)</f>
        <v>856.68225124546791</v>
      </c>
    </row>
    <row r="62" spans="1:55" x14ac:dyDescent="0.3">
      <c r="A62">
        <v>5</v>
      </c>
      <c r="AN62">
        <v>27.5</v>
      </c>
      <c r="AO62">
        <f t="shared" ca="1" si="34"/>
        <v>722.73291503581186</v>
      </c>
      <c r="AY62">
        <v>17.5</v>
      </c>
      <c r="AZ62">
        <f t="shared" ca="1" si="35"/>
        <v>48.854853910015294</v>
      </c>
      <c r="BA62">
        <f t="shared" ca="1" si="36"/>
        <v>854.95994342526762</v>
      </c>
      <c r="BB62">
        <f ca="1">ABS(AZ62-'g)'!B37)</f>
        <v>0</v>
      </c>
      <c r="BC62">
        <f ca="1">ABS(BA62-'g)'!C37)</f>
        <v>854.95994342526762</v>
      </c>
    </row>
    <row r="63" spans="1:55" x14ac:dyDescent="0.3">
      <c r="A63">
        <v>5</v>
      </c>
      <c r="AN63">
        <v>28</v>
      </c>
      <c r="AO63">
        <f t="shared" ca="1" si="34"/>
        <v>713.41139620316414</v>
      </c>
      <c r="AY63">
        <v>18</v>
      </c>
      <c r="AZ63">
        <f t="shared" ca="1" si="35"/>
        <v>47.363587491957603</v>
      </c>
      <c r="BA63">
        <f t="shared" ca="1" si="36"/>
        <v>852.54457485523687</v>
      </c>
      <c r="BB63">
        <f ca="1">ABS(AZ63-'g)'!B38)</f>
        <v>0</v>
      </c>
      <c r="BC63">
        <f ca="1">ABS(BA63-'g)'!C38)</f>
        <v>852.54457485523687</v>
      </c>
    </row>
    <row r="64" spans="1:55" x14ac:dyDescent="0.3">
      <c r="A64">
        <v>5</v>
      </c>
      <c r="AN64">
        <v>28.5</v>
      </c>
      <c r="AO64">
        <f t="shared" ca="1" si="34"/>
        <v>703.98554578326321</v>
      </c>
      <c r="AY64">
        <v>18.5</v>
      </c>
      <c r="AZ64">
        <f t="shared" ca="1" si="35"/>
        <v>45.917841126702093</v>
      </c>
      <c r="BA64">
        <f t="shared" ca="1" si="36"/>
        <v>849.48006084398878</v>
      </c>
      <c r="BB64">
        <f ca="1">ABS(AZ64-'g)'!B39)</f>
        <v>0</v>
      </c>
      <c r="BC64">
        <f ca="1">ABS(BA64-'g)'!C39)</f>
        <v>849.48006084398878</v>
      </c>
    </row>
    <row r="65" spans="1:55" x14ac:dyDescent="0.3">
      <c r="A65">
        <v>5</v>
      </c>
      <c r="AN65">
        <v>29</v>
      </c>
      <c r="AO65">
        <f t="shared" ca="1" si="34"/>
        <v>694.47041833784454</v>
      </c>
      <c r="AY65">
        <v>19</v>
      </c>
      <c r="AZ65">
        <f t="shared" ca="1" si="35"/>
        <v>44.516225340723423</v>
      </c>
      <c r="BA65">
        <f t="shared" ca="1" si="36"/>
        <v>845.80828147374507</v>
      </c>
      <c r="BB65">
        <f ca="1">ABS(AZ65-'g)'!B40)</f>
        <v>0</v>
      </c>
      <c r="BC65">
        <f ca="1">ABS(BA65-'g)'!C40)</f>
        <v>845.80828147374507</v>
      </c>
    </row>
    <row r="66" spans="1:55" x14ac:dyDescent="0.3">
      <c r="A66">
        <v>5</v>
      </c>
      <c r="AN66">
        <v>29.5</v>
      </c>
      <c r="AO66">
        <f t="shared" ca="1" si="34"/>
        <v>684.88024657488495</v>
      </c>
      <c r="AY66">
        <v>19.5</v>
      </c>
      <c r="AZ66">
        <f t="shared" ca="1" si="35"/>
        <v>43.157393073379346</v>
      </c>
      <c r="BA66">
        <f t="shared" ca="1" si="36"/>
        <v>841.56916493089727</v>
      </c>
      <c r="BB66">
        <f ca="1">ABS(AZ66-'g)'!B41)</f>
        <v>0</v>
      </c>
      <c r="BC66">
        <f ca="1">ABS(BA66-'g)'!C41)</f>
        <v>841.56916493089727</v>
      </c>
    </row>
    <row r="67" spans="1:55" x14ac:dyDescent="0.3">
      <c r="A67">
        <v>5</v>
      </c>
      <c r="AN67">
        <v>30</v>
      </c>
      <c r="AO67">
        <f t="shared" ca="1" si="34"/>
        <v>675.22847749488471</v>
      </c>
      <c r="AY67">
        <v>20</v>
      </c>
      <c r="AZ67">
        <f t="shared" ca="1" si="35"/>
        <v>41.840038382281755</v>
      </c>
      <c r="BA67">
        <f t="shared" ca="1" si="36"/>
        <v>836.80076764563512</v>
      </c>
      <c r="BB67">
        <f ca="1">ABS(AZ67-'g)'!B42)</f>
        <v>0</v>
      </c>
      <c r="BC67">
        <f ca="1">ABS(BA67-'g)'!C42)</f>
        <v>836.80076764563512</v>
      </c>
    </row>
    <row r="68" spans="1:55" x14ac:dyDescent="0.3">
      <c r="A68">
        <v>5</v>
      </c>
      <c r="AN68">
        <v>30.5</v>
      </c>
      <c r="AO68">
        <f t="shared" ca="1" si="34"/>
        <v>665.52780709621595</v>
      </c>
      <c r="AY68">
        <v>20.5</v>
      </c>
      <c r="AZ68">
        <f t="shared" ca="1" si="35"/>
        <v>40.562895188185536</v>
      </c>
      <c r="BA68">
        <f t="shared" ca="1" si="36"/>
        <v>831.53935135780353</v>
      </c>
      <c r="BB68">
        <f ca="1">ABS(AZ68-'g)'!B43)</f>
        <v>0</v>
      </c>
      <c r="BC68">
        <f ca="1">ABS(BA68-'g)'!C43)</f>
        <v>831.53935135780353</v>
      </c>
    </row>
    <row r="69" spans="1:55" x14ac:dyDescent="0.3">
      <c r="A69">
        <v>5.01</v>
      </c>
      <c r="AN69">
        <v>31</v>
      </c>
      <c r="AO69">
        <f t="shared" ca="1" si="34"/>
        <v>655.79021369382554</v>
      </c>
      <c r="AY69">
        <v>21</v>
      </c>
      <c r="AZ69">
        <f t="shared" ca="1" si="35"/>
        <v>39.32473605818894</v>
      </c>
      <c r="BA69">
        <f t="shared" ca="1" si="36"/>
        <v>825.8194572219677</v>
      </c>
      <c r="BB69">
        <f ca="1">ABS(AZ69-'g)'!B44)</f>
        <v>0</v>
      </c>
      <c r="BC69">
        <f ca="1">ABS(BA69-'g)'!C44)</f>
        <v>825.8194572219677</v>
      </c>
    </row>
    <row r="70" spans="1:55" x14ac:dyDescent="0.3">
      <c r="A70">
        <v>6</v>
      </c>
      <c r="AN70">
        <v>31.5</v>
      </c>
      <c r="AO70">
        <f t="shared" ca="1" si="34"/>
        <v>646.0269899036075</v>
      </c>
      <c r="AY70">
        <v>21.5</v>
      </c>
      <c r="AZ70">
        <f t="shared" ca="1" si="35"/>
        <v>38.12437102607619</v>
      </c>
      <c r="BA70">
        <f t="shared" ca="1" si="36"/>
        <v>819.67397706063809</v>
      </c>
      <c r="BB70">
        <f ca="1">ABS(AZ70-'g)'!B45)</f>
        <v>0</v>
      </c>
      <c r="BC70">
        <f ca="1">ABS(BA70-'g)'!C45)</f>
        <v>819.67397706063809</v>
      </c>
    </row>
    <row r="71" spans="1:55" x14ac:dyDescent="0.3">
      <c r="A71">
        <v>6</v>
      </c>
      <c r="AN71">
        <v>32</v>
      </c>
      <c r="AO71">
        <f t="shared" ca="1" si="34"/>
        <v>636.24877334286214</v>
      </c>
      <c r="AY71">
        <v>22</v>
      </c>
      <c r="AZ71">
        <f t="shared" ca="1" si="35"/>
        <v>36.96064644866825</v>
      </c>
      <c r="BA71">
        <f t="shared" ca="1" si="36"/>
        <v>813.13422187070148</v>
      </c>
      <c r="BB71">
        <f ca="1">ABS(AZ71-'g)'!B46)</f>
        <v>0</v>
      </c>
      <c r="BC71">
        <f ca="1">ABS(BA71-'g)'!C46)</f>
        <v>813.13422187070148</v>
      </c>
    </row>
    <row r="72" spans="1:55" x14ac:dyDescent="0.3">
      <c r="A72">
        <v>7</v>
      </c>
      <c r="AN72">
        <v>32.5</v>
      </c>
      <c r="AO72">
        <f t="shared" ca="1" si="34"/>
        <v>626.46557609541935</v>
      </c>
      <c r="AY72">
        <v>22.5</v>
      </c>
      <c r="AZ72">
        <f t="shared" ca="1" si="35"/>
        <v>35.832443897083031</v>
      </c>
      <c r="BA72">
        <f t="shared" ca="1" si="36"/>
        <v>806.22998768436821</v>
      </c>
      <c r="BB72">
        <f ca="1">ABS(AZ72-'g)'!B47)</f>
        <v>0</v>
      </c>
      <c r="BC72">
        <f ca="1">ABS(BA72-'g)'!C47)</f>
        <v>806.22998768436821</v>
      </c>
    </row>
    <row r="73" spans="1:55" x14ac:dyDescent="0.3">
      <c r="A73">
        <v>7</v>
      </c>
      <c r="AN73">
        <v>33</v>
      </c>
      <c r="AO73">
        <f t="shared" ca="1" si="34"/>
        <v>616.68681298824038</v>
      </c>
      <c r="AY73">
        <v>23</v>
      </c>
      <c r="AZ73">
        <f t="shared" ca="1" si="35"/>
        <v>34.73867908183913</v>
      </c>
      <c r="BA73">
        <f t="shared" ca="1" si="36"/>
        <v>798.98961888229996</v>
      </c>
      <c r="BB73">
        <f ca="1">ABS(AZ73-'g)'!B48)</f>
        <v>0</v>
      </c>
      <c r="BC73">
        <f ca="1">ABS(BA73-'g)'!C48)</f>
        <v>798.98961888229996</v>
      </c>
    </row>
    <row r="74" spans="1:55" x14ac:dyDescent="0.3">
      <c r="A74">
        <v>7</v>
      </c>
      <c r="AN74">
        <v>33.5</v>
      </c>
      <c r="AO74">
        <f t="shared" ref="AO74:AO77" ca="1" si="42">AN74*ROUND($AJ$5,3)*EXP(-ROUND($AJ$6,3)*AN74)</f>
        <v>606.92132872459945</v>
      </c>
      <c r="AY74">
        <v>23.5</v>
      </c>
      <c r="AZ74">
        <f t="shared" ca="1" si="35"/>
        <v>33.678300810770139</v>
      </c>
      <c r="BA74">
        <f t="shared" ca="1" si="36"/>
        <v>791.44006905309823</v>
      </c>
      <c r="BB74">
        <f ca="1">ABS(AZ74-'g)'!B49)</f>
        <v>0</v>
      </c>
      <c r="BC74">
        <f ca="1">ABS(BA74-'g)'!C49)</f>
        <v>791.44006905309823</v>
      </c>
    </row>
    <row r="75" spans="1:55" x14ac:dyDescent="0.3">
      <c r="A75">
        <v>7.75</v>
      </c>
      <c r="AN75">
        <v>34</v>
      </c>
      <c r="AO75">
        <f t="shared" ca="1" si="42"/>
        <v>597.17742391730451</v>
      </c>
      <c r="AY75">
        <v>24</v>
      </c>
      <c r="AZ75">
        <f t="shared" ca="1" si="35"/>
        <v>32.65028997874817</v>
      </c>
      <c r="BA75">
        <f t="shared" ca="1" si="36"/>
        <v>783.60695948995613</v>
      </c>
      <c r="BB75">
        <f ca="1">ABS(AZ75-'g)'!B50)</f>
        <v>0</v>
      </c>
      <c r="BC75">
        <f ca="1">ABS(BA75-'g)'!C50)</f>
        <v>783.60695948995613</v>
      </c>
    </row>
    <row r="76" spans="1:55" x14ac:dyDescent="0.3">
      <c r="A76">
        <v>8</v>
      </c>
      <c r="AN76">
        <v>34.5</v>
      </c>
      <c r="AO76">
        <f t="shared" ca="1" si="42"/>
        <v>587.46288006382758</v>
      </c>
      <c r="AY76">
        <v>24.5</v>
      </c>
      <c r="AZ76">
        <f t="shared" ca="1" si="35"/>
        <v>31.65365858824531</v>
      </c>
      <c r="BA76">
        <f t="shared" ca="1" si="36"/>
        <v>775.51463541201008</v>
      </c>
      <c r="BB76">
        <f ca="1">ABS(AZ76-'g)'!B51)</f>
        <v>0</v>
      </c>
      <c r="BC76">
        <f ca="1">ABS(BA76-'g)'!C51)</f>
        <v>775.51463541201008</v>
      </c>
    </row>
    <row r="77" spans="1:55" x14ac:dyDescent="0.3">
      <c r="A77">
        <v>8</v>
      </c>
      <c r="AN77">
        <v>35</v>
      </c>
      <c r="AO77">
        <f t="shared" ca="1" si="42"/>
        <v>577.78498350368159</v>
      </c>
      <c r="AY77">
        <v>25</v>
      </c>
      <c r="AZ77">
        <f t="shared" ca="1" si="35"/>
        <v>30.687448799791987</v>
      </c>
      <c r="BA77">
        <f t="shared" ca="1" si="36"/>
        <v>767.18621999479967</v>
      </c>
      <c r="BB77">
        <f ca="1">ABS(AZ77-'g)'!B52)</f>
        <v>0</v>
      </c>
      <c r="BC77">
        <f ca="1">ABS(BA77-'g)'!C52)</f>
        <v>767.18621999479967</v>
      </c>
    </row>
    <row r="78" spans="1:55" x14ac:dyDescent="0.3">
      <c r="A78">
        <v>9</v>
      </c>
      <c r="AY78">
        <v>25.5</v>
      </c>
      <c r="AZ78">
        <f t="shared" ca="1" si="35"/>
        <v>29.750732011419544</v>
      </c>
      <c r="BA78">
        <f t="shared" ca="1" si="36"/>
        <v>758.64366629119831</v>
      </c>
      <c r="BB78">
        <f ca="1">ABS(AZ78-'g)'!B53)</f>
        <v>0</v>
      </c>
      <c r="BC78">
        <f ca="1">ABS(BA78-'g)'!C53)</f>
        <v>758.64366629119831</v>
      </c>
    </row>
    <row r="79" spans="1:55" x14ac:dyDescent="0.3">
      <c r="A79">
        <v>10</v>
      </c>
      <c r="AY79">
        <v>26</v>
      </c>
      <c r="AZ79">
        <f t="shared" ca="1" si="35"/>
        <v>28.84260796620223</v>
      </c>
      <c r="BA79">
        <f t="shared" ca="1" si="36"/>
        <v>749.90780712125797</v>
      </c>
      <c r="BB79">
        <f ca="1">ABS(AZ79-'g)'!B54)</f>
        <v>0</v>
      </c>
      <c r="BC79">
        <f ca="1">ABS(BA79-'g)'!C54)</f>
        <v>749.90780712125797</v>
      </c>
    </row>
    <row r="80" spans="1:55" x14ac:dyDescent="0.3">
      <c r="A80">
        <v>10</v>
      </c>
      <c r="AY80">
        <v>26.5</v>
      </c>
      <c r="AZ80">
        <f t="shared" ca="1" si="35"/>
        <v>27.96220388704106</v>
      </c>
      <c r="BA80">
        <f t="shared" ca="1" si="36"/>
        <v>740.99840300658809</v>
      </c>
      <c r="BB80">
        <f ca="1">ABS(AZ80-'g)'!B55)</f>
        <v>0</v>
      </c>
      <c r="BC80">
        <f ca="1">ABS(BA80-'g)'!C55)</f>
        <v>740.99840300658809</v>
      </c>
    </row>
    <row r="81" spans="1:55" x14ac:dyDescent="0.3">
      <c r="A81">
        <v>10</v>
      </c>
      <c r="AY81">
        <v>27</v>
      </c>
      <c r="AZ81">
        <f t="shared" ca="1" si="35"/>
        <v>27.108673637857816</v>
      </c>
      <c r="BA81">
        <f t="shared" ca="1" si="36"/>
        <v>731.93418822216108</v>
      </c>
      <c r="BB81">
        <f ca="1">ABS(AZ81-'g)'!B56)</f>
        <v>0</v>
      </c>
      <c r="BC81">
        <f ca="1">ABS(BA81-'g)'!C56)</f>
        <v>731.93418822216108</v>
      </c>
    </row>
    <row r="82" spans="1:55" x14ac:dyDescent="0.3">
      <c r="A82">
        <v>10</v>
      </c>
      <c r="AY82">
        <v>27.5</v>
      </c>
      <c r="AZ82">
        <f t="shared" ca="1" si="35"/>
        <v>26.28119691039316</v>
      </c>
      <c r="BA82">
        <f t="shared" ca="1" si="36"/>
        <v>722.73291503581186</v>
      </c>
      <c r="BB82">
        <f ca="1">ABS(AZ82-'g)'!B57)</f>
        <v>0</v>
      </c>
      <c r="BC82">
        <f ca="1">ABS(BA82-'g)'!C57)</f>
        <v>722.73291503581186</v>
      </c>
    </row>
    <row r="83" spans="1:55" x14ac:dyDescent="0.3">
      <c r="A83">
        <v>10</v>
      </c>
      <c r="AY83">
        <v>28</v>
      </c>
      <c r="AZ83">
        <f t="shared" ca="1" si="35"/>
        <v>25.47897843582729</v>
      </c>
      <c r="BA83">
        <f t="shared" ca="1" si="36"/>
        <v>713.41139620316414</v>
      </c>
      <c r="BB83">
        <f ca="1">ABS(AZ83-'g)'!B58)</f>
        <v>0</v>
      </c>
      <c r="BC83">
        <f ca="1">ABS(BA83-'g)'!C58)</f>
        <v>713.41139620316414</v>
      </c>
    </row>
    <row r="84" spans="1:55" x14ac:dyDescent="0.3">
      <c r="A84">
        <v>10</v>
      </c>
      <c r="AY84">
        <v>28.5</v>
      </c>
      <c r="AZ84">
        <f t="shared" ca="1" si="35"/>
        <v>24.701247220465376</v>
      </c>
      <c r="BA84">
        <f t="shared" ca="1" si="36"/>
        <v>703.98554578326321</v>
      </c>
      <c r="BB84">
        <f ca="1">ABS(AZ84-'g)'!B59)</f>
        <v>0</v>
      </c>
      <c r="BC84">
        <f ca="1">ABS(BA84-'g)'!C59)</f>
        <v>703.98554578326321</v>
      </c>
    </row>
    <row r="85" spans="1:55" x14ac:dyDescent="0.3">
      <c r="A85">
        <v>10</v>
      </c>
      <c r="AY85">
        <v>29</v>
      </c>
      <c r="AZ85">
        <f t="shared" ca="1" si="35"/>
        <v>23.947255804753258</v>
      </c>
      <c r="BA85">
        <f t="shared" ca="1" si="36"/>
        <v>694.47041833784454</v>
      </c>
      <c r="BB85">
        <f ca="1">ABS(AZ85-'g)'!B60)</f>
        <v>0</v>
      </c>
      <c r="BC85">
        <f ca="1">ABS(BA85-'g)'!C60)</f>
        <v>694.47041833784454</v>
      </c>
    </row>
    <row r="86" spans="1:55" x14ac:dyDescent="0.3">
      <c r="A86">
        <v>10</v>
      </c>
      <c r="AY86">
        <v>29.5</v>
      </c>
      <c r="AZ86">
        <f t="shared" ca="1" si="35"/>
        <v>23.216279544911355</v>
      </c>
      <c r="BA86">
        <f t="shared" ca="1" si="36"/>
        <v>684.88024657488495</v>
      </c>
      <c r="BB86">
        <f ca="1">ABS(AZ86-'g)'!B61)</f>
        <v>0</v>
      </c>
      <c r="BC86">
        <f ca="1">ABS(BA86-'g)'!C61)</f>
        <v>684.88024657488495</v>
      </c>
    </row>
    <row r="87" spans="1:55" x14ac:dyDescent="0.3">
      <c r="A87">
        <v>10</v>
      </c>
      <c r="AY87">
        <v>30</v>
      </c>
      <c r="AZ87">
        <f t="shared" ca="1" si="35"/>
        <v>22.507615916496157</v>
      </c>
      <c r="BA87">
        <f t="shared" ca="1" si="36"/>
        <v>675.22847749488471</v>
      </c>
      <c r="BB87">
        <f ca="1">ABS(AZ87-'g)'!B62)</f>
        <v>0</v>
      </c>
      <c r="BC87">
        <f ca="1">ABS(BA87-'g)'!C62)</f>
        <v>675.22847749488471</v>
      </c>
    </row>
    <row r="88" spans="1:55" x14ac:dyDescent="0.3">
      <c r="A88">
        <v>10</v>
      </c>
      <c r="AY88">
        <v>30.5</v>
      </c>
      <c r="AZ88">
        <f t="shared" ca="1" si="35"/>
        <v>21.820583839220195</v>
      </c>
      <c r="BA88">
        <f t="shared" ca="1" si="36"/>
        <v>665.52780709621595</v>
      </c>
      <c r="BB88">
        <f ca="1">ABS(AZ88-'g)'!B63)</f>
        <v>0</v>
      </c>
      <c r="BC88">
        <f ca="1">ABS(BA88-'g)'!C63)</f>
        <v>665.52780709621595</v>
      </c>
    </row>
    <row r="89" spans="1:55" x14ac:dyDescent="0.3">
      <c r="A89">
        <v>10</v>
      </c>
      <c r="AY89">
        <v>31</v>
      </c>
      <c r="AZ89">
        <f t="shared" ca="1" si="35"/>
        <v>21.154523022381468</v>
      </c>
      <c r="BA89">
        <f t="shared" ca="1" si="36"/>
        <v>655.79021369382554</v>
      </c>
      <c r="BB89">
        <f ca="1">ABS(AZ89-'g)'!B64)</f>
        <v>0</v>
      </c>
      <c r="BC89">
        <f ca="1">ABS(BA89-'g)'!C64)</f>
        <v>655.79021369382554</v>
      </c>
    </row>
    <row r="90" spans="1:55" x14ac:dyDescent="0.3">
      <c r="A90">
        <v>10</v>
      </c>
      <c r="AY90">
        <v>31.5</v>
      </c>
      <c r="AZ90">
        <f t="shared" ca="1" si="35"/>
        <v>20.508793330273253</v>
      </c>
      <c r="BA90">
        <f t="shared" ca="1" si="36"/>
        <v>646.0269899036075</v>
      </c>
      <c r="BB90">
        <f ca="1">ABS(AZ90-'g)'!B65)</f>
        <v>0</v>
      </c>
      <c r="BC90">
        <f ca="1">ABS(BA90-'g)'!C65)</f>
        <v>646.0269899036075</v>
      </c>
    </row>
    <row r="91" spans="1:55" x14ac:dyDescent="0.3">
      <c r="A91">
        <v>10</v>
      </c>
      <c r="AY91">
        <v>32</v>
      </c>
      <c r="AZ91">
        <f t="shared" ca="1" si="35"/>
        <v>19.882774166964442</v>
      </c>
      <c r="BA91">
        <f t="shared" ca="1" si="36"/>
        <v>636.24877334286214</v>
      </c>
      <c r="BB91">
        <f ca="1">ABS(AZ91-'g)'!B66)</f>
        <v>0</v>
      </c>
      <c r="BC91">
        <f ca="1">ABS(BA91-'g)'!C66)</f>
        <v>636.24877334286214</v>
      </c>
    </row>
    <row r="92" spans="1:55" x14ac:dyDescent="0.3">
      <c r="A92">
        <v>10</v>
      </c>
      <c r="AY92">
        <v>32.5</v>
      </c>
      <c r="AZ92">
        <f t="shared" ca="1" si="35"/>
        <v>19.275863879859056</v>
      </c>
      <c r="BA92">
        <f t="shared" ca="1" si="36"/>
        <v>626.46557609541935</v>
      </c>
      <c r="BB92">
        <f ca="1">ABS(AZ92-'g)'!B67)</f>
        <v>0</v>
      </c>
      <c r="BC92">
        <f ca="1">ABS(BA92-'g)'!C67)</f>
        <v>626.46557609541935</v>
      </c>
    </row>
    <row r="93" spans="1:55" x14ac:dyDescent="0.3">
      <c r="A93">
        <v>10</v>
      </c>
      <c r="AY93">
        <v>33</v>
      </c>
      <c r="AZ93">
        <f t="shared" ca="1" si="35"/>
        <v>18.687479181461832</v>
      </c>
      <c r="BA93">
        <f t="shared" ca="1" si="36"/>
        <v>616.68681298824049</v>
      </c>
      <c r="BB93">
        <f ca="1">ABS(AZ93-'g)'!B68)</f>
        <v>0</v>
      </c>
      <c r="BC93">
        <f ca="1">ABS(BA93-'g)'!C68)</f>
        <v>616.68681298824049</v>
      </c>
    </row>
    <row r="94" spans="1:55" x14ac:dyDescent="0.3">
      <c r="A94">
        <v>10</v>
      </c>
      <c r="AY94">
        <v>33.5</v>
      </c>
      <c r="AZ94">
        <f t="shared" ref="AZ94:AZ97" ca="1" si="43">ROUND($Z$2,3)*EXP(-ROUND($Z$1,3)*AY94)</f>
        <v>18.117054588794012</v>
      </c>
      <c r="BA94">
        <f t="shared" ref="BA94:BA97" ca="1" si="44">AY94*AZ94</f>
        <v>606.92132872459945</v>
      </c>
      <c r="BB94">
        <f ca="1">ABS(AZ94-'g)'!B69)</f>
        <v>0</v>
      </c>
      <c r="BC94">
        <f ca="1">ABS(BA94-'g)'!C69)</f>
        <v>606.92132872459945</v>
      </c>
    </row>
    <row r="95" spans="1:55" x14ac:dyDescent="0.3">
      <c r="A95">
        <v>10</v>
      </c>
      <c r="AY95">
        <v>34</v>
      </c>
      <c r="AZ95">
        <f t="shared" ca="1" si="43"/>
        <v>17.564041879920719</v>
      </c>
      <c r="BA95">
        <f t="shared" ca="1" si="44"/>
        <v>597.1774239173044</v>
      </c>
      <c r="BB95">
        <f ca="1">ABS(AZ95-'g)'!B70)</f>
        <v>0</v>
      </c>
      <c r="BC95">
        <f ca="1">ABS(BA95-'g)'!C70)</f>
        <v>597.1774239173044</v>
      </c>
    </row>
    <row r="96" spans="1:55" x14ac:dyDescent="0.3">
      <c r="A96">
        <v>10</v>
      </c>
      <c r="AY96">
        <v>34.5</v>
      </c>
      <c r="AZ96">
        <f t="shared" ca="1" si="43"/>
        <v>17.027909567067464</v>
      </c>
      <c r="BA96">
        <f t="shared" ca="1" si="44"/>
        <v>587.46288006382747</v>
      </c>
      <c r="BB96">
        <f ca="1">ABS(AZ96-'g)'!B71)</f>
        <v>0</v>
      </c>
      <c r="BC96">
        <f ca="1">ABS(BA96-'g)'!C71)</f>
        <v>587.46288006382747</v>
      </c>
    </row>
    <row r="97" spans="1:55" x14ac:dyDescent="0.3">
      <c r="A97">
        <v>10</v>
      </c>
      <c r="AY97">
        <v>35</v>
      </c>
      <c r="AZ97">
        <f t="shared" ca="1" si="43"/>
        <v>16.508142385819472</v>
      </c>
      <c r="BA97">
        <f t="shared" ca="1" si="44"/>
        <v>577.78498350368147</v>
      </c>
      <c r="BB97">
        <f ca="1">ABS(AZ97-'g)'!B72)</f>
        <v>0</v>
      </c>
      <c r="BC97">
        <f ca="1">ABS(BA97-'g)'!C72)</f>
        <v>577.78498350368147</v>
      </c>
    </row>
    <row r="98" spans="1:55" x14ac:dyDescent="0.3">
      <c r="A98">
        <v>10</v>
      </c>
    </row>
    <row r="99" spans="1:55" x14ac:dyDescent="0.3">
      <c r="A99">
        <v>10</v>
      </c>
    </row>
    <row r="100" spans="1:55" x14ac:dyDescent="0.3">
      <c r="A100">
        <v>10</v>
      </c>
    </row>
    <row r="101" spans="1:55" x14ac:dyDescent="0.3">
      <c r="A101">
        <v>10</v>
      </c>
    </row>
    <row r="102" spans="1:55" x14ac:dyDescent="0.3">
      <c r="A102">
        <v>10</v>
      </c>
    </row>
    <row r="103" spans="1:55" x14ac:dyDescent="0.3">
      <c r="A103">
        <v>10</v>
      </c>
    </row>
    <row r="104" spans="1:55" x14ac:dyDescent="0.3">
      <c r="A104">
        <v>10</v>
      </c>
    </row>
    <row r="105" spans="1:55" x14ac:dyDescent="0.3">
      <c r="A105">
        <v>10</v>
      </c>
    </row>
    <row r="106" spans="1:55" x14ac:dyDescent="0.3">
      <c r="A106">
        <v>10</v>
      </c>
    </row>
    <row r="107" spans="1:55" x14ac:dyDescent="0.3">
      <c r="A107">
        <v>10</v>
      </c>
    </row>
    <row r="108" spans="1:55" x14ac:dyDescent="0.3">
      <c r="A108">
        <v>11</v>
      </c>
    </row>
    <row r="109" spans="1:55" x14ac:dyDescent="0.3">
      <c r="A109">
        <v>12.5</v>
      </c>
    </row>
    <row r="110" spans="1:55" x14ac:dyDescent="0.3">
      <c r="A110">
        <v>13.5</v>
      </c>
    </row>
    <row r="111" spans="1:55" x14ac:dyDescent="0.3">
      <c r="A111">
        <v>15</v>
      </c>
    </row>
    <row r="112" spans="1:55" x14ac:dyDescent="0.3">
      <c r="A112">
        <v>15</v>
      </c>
    </row>
    <row r="113" spans="1:1" x14ac:dyDescent="0.3">
      <c r="A113">
        <v>15</v>
      </c>
    </row>
    <row r="114" spans="1:1" x14ac:dyDescent="0.3">
      <c r="A114">
        <v>15</v>
      </c>
    </row>
    <row r="115" spans="1:1" x14ac:dyDescent="0.3">
      <c r="A115">
        <v>15</v>
      </c>
    </row>
    <row r="116" spans="1:1" x14ac:dyDescent="0.3">
      <c r="A116">
        <v>15</v>
      </c>
    </row>
    <row r="117" spans="1:1" x14ac:dyDescent="0.3">
      <c r="A117">
        <v>15</v>
      </c>
    </row>
    <row r="118" spans="1:1" x14ac:dyDescent="0.3">
      <c r="A118">
        <v>16.989999999999998</v>
      </c>
    </row>
    <row r="119" spans="1:1" x14ac:dyDescent="0.3">
      <c r="A119">
        <v>17</v>
      </c>
    </row>
    <row r="120" spans="1:1" x14ac:dyDescent="0.3">
      <c r="A120">
        <v>20</v>
      </c>
    </row>
    <row r="121" spans="1:1" x14ac:dyDescent="0.3">
      <c r="A121">
        <v>20</v>
      </c>
    </row>
    <row r="122" spans="1:1" x14ac:dyDescent="0.3">
      <c r="A122">
        <v>20</v>
      </c>
    </row>
    <row r="123" spans="1:1" x14ac:dyDescent="0.3">
      <c r="A123">
        <v>20</v>
      </c>
    </row>
    <row r="124" spans="1:1" x14ac:dyDescent="0.3">
      <c r="A124">
        <v>20</v>
      </c>
    </row>
    <row r="125" spans="1:1" x14ac:dyDescent="0.3">
      <c r="A125">
        <v>20</v>
      </c>
    </row>
    <row r="126" spans="1:1" x14ac:dyDescent="0.3">
      <c r="A126">
        <v>20</v>
      </c>
    </row>
    <row r="127" spans="1:1" x14ac:dyDescent="0.3">
      <c r="A127">
        <v>20</v>
      </c>
    </row>
    <row r="128" spans="1:1" x14ac:dyDescent="0.3">
      <c r="A128">
        <v>20</v>
      </c>
    </row>
    <row r="129" spans="1:1" x14ac:dyDescent="0.3">
      <c r="A129">
        <v>20</v>
      </c>
    </row>
    <row r="130" spans="1:1" x14ac:dyDescent="0.3">
      <c r="A130">
        <v>20</v>
      </c>
    </row>
    <row r="131" spans="1:1" x14ac:dyDescent="0.3">
      <c r="A131">
        <v>20</v>
      </c>
    </row>
    <row r="132" spans="1:1" x14ac:dyDescent="0.3">
      <c r="A132">
        <v>20.010000000000002</v>
      </c>
    </row>
    <row r="133" spans="1:1" x14ac:dyDescent="0.3">
      <c r="A133">
        <v>20.010000000000002</v>
      </c>
    </row>
    <row r="134" spans="1:1" x14ac:dyDescent="0.3">
      <c r="A134">
        <v>22.5</v>
      </c>
    </row>
    <row r="135" spans="1:1" x14ac:dyDescent="0.3">
      <c r="A135">
        <v>23</v>
      </c>
    </row>
    <row r="136" spans="1:1" x14ac:dyDescent="0.3">
      <c r="A136">
        <v>23</v>
      </c>
    </row>
    <row r="137" spans="1:1" x14ac:dyDescent="0.3">
      <c r="A137">
        <v>25</v>
      </c>
    </row>
    <row r="138" spans="1:1" x14ac:dyDescent="0.3">
      <c r="A138">
        <v>25</v>
      </c>
    </row>
    <row r="139" spans="1:1" x14ac:dyDescent="0.3">
      <c r="A139">
        <v>25</v>
      </c>
    </row>
    <row r="140" spans="1:1" x14ac:dyDescent="0.3">
      <c r="A140">
        <v>25</v>
      </c>
    </row>
    <row r="141" spans="1:1" x14ac:dyDescent="0.3">
      <c r="A141">
        <v>30</v>
      </c>
    </row>
    <row r="142" spans="1:1" x14ac:dyDescent="0.3">
      <c r="A142">
        <v>40</v>
      </c>
    </row>
    <row r="143" spans="1:1" x14ac:dyDescent="0.3">
      <c r="A143">
        <v>40</v>
      </c>
    </row>
    <row r="144" spans="1:1" x14ac:dyDescent="0.3">
      <c r="A144">
        <v>40</v>
      </c>
    </row>
    <row r="145" spans="1:1" x14ac:dyDescent="0.3">
      <c r="A145">
        <v>40</v>
      </c>
    </row>
    <row r="146" spans="1:1" x14ac:dyDescent="0.3">
      <c r="A146">
        <v>40</v>
      </c>
    </row>
    <row r="147" spans="1:1" x14ac:dyDescent="0.3">
      <c r="A147">
        <v>40</v>
      </c>
    </row>
    <row r="148" spans="1:1" x14ac:dyDescent="0.3">
      <c r="A148">
        <v>50</v>
      </c>
    </row>
    <row r="149" spans="1:1" x14ac:dyDescent="0.3">
      <c r="A149">
        <v>50</v>
      </c>
    </row>
    <row r="150" spans="1:1" x14ac:dyDescent="0.3">
      <c r="A150">
        <v>50</v>
      </c>
    </row>
    <row r="151" spans="1:1" x14ac:dyDescent="0.3">
      <c r="A151">
        <v>50</v>
      </c>
    </row>
    <row r="152" spans="1:1" x14ac:dyDescent="0.3">
      <c r="A152">
        <v>50</v>
      </c>
    </row>
    <row r="153" spans="1:1" x14ac:dyDescent="0.3">
      <c r="A153">
        <v>50</v>
      </c>
    </row>
    <row r="154" spans="1:1" x14ac:dyDescent="0.3">
      <c r="A154">
        <v>51</v>
      </c>
    </row>
    <row r="155" spans="1:1" x14ac:dyDescent="0.3">
      <c r="A155">
        <v>54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3000</v>
      </c>
    </row>
  </sheetData>
  <mergeCells count="6">
    <mergeCell ref="D7:H7"/>
    <mergeCell ref="I7:M7"/>
    <mergeCell ref="S7:W7"/>
    <mergeCell ref="X7:AB7"/>
    <mergeCell ref="AC7:AG7"/>
    <mergeCell ref="N7:R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F21" sqref="F21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15</v>
      </c>
      <c r="B3" s="1">
        <f>COUNTIF('données + numéro d''équipe'!$A$2:$A$155,"&gt;="&amp;A3)</f>
        <v>48</v>
      </c>
      <c r="C3" s="2">
        <f t="shared" ref="C3:C5" si="0">A3*B3</f>
        <v>720</v>
      </c>
    </row>
    <row r="4" spans="1:3" x14ac:dyDescent="0.3">
      <c r="A4" s="2">
        <v>25</v>
      </c>
      <c r="B4" s="1">
        <f>COUNTIF('données + numéro d''équipe'!$A$2:$A$155,"&gt;="&amp;A4)</f>
        <v>22</v>
      </c>
      <c r="C4" s="2">
        <f t="shared" si="0"/>
        <v>550</v>
      </c>
    </row>
    <row r="5" spans="1:3" x14ac:dyDescent="0.3">
      <c r="A5" s="2">
        <v>35</v>
      </c>
      <c r="B5" s="1">
        <f>COUNTIF('données + numéro d''équipe'!$A$2:$A$155,"&gt;="&amp;A5)</f>
        <v>17</v>
      </c>
      <c r="C5" s="2">
        <f t="shared" si="0"/>
        <v>595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>
      <selection activeCell="G13" sqref="G13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7.5</v>
      </c>
      <c r="B3" s="1">
        <f>COUNTIF('données + numéro d''équipe'!$A$2:$A$155,"&gt;="&amp;A3)</f>
        <v>84</v>
      </c>
      <c r="C3" s="2">
        <f t="shared" ref="C3:C5" si="0">A3*B3</f>
        <v>630</v>
      </c>
    </row>
    <row r="4" spans="1:3" x14ac:dyDescent="0.3">
      <c r="A4" s="2">
        <v>10</v>
      </c>
      <c r="B4" s="1">
        <f>COUNTIF('données + numéro d''équipe'!$A$2:$A$155,"&gt;="&amp;A4)</f>
        <v>80</v>
      </c>
      <c r="C4" s="2">
        <f t="shared" si="0"/>
        <v>800</v>
      </c>
    </row>
    <row r="5" spans="1:3" x14ac:dyDescent="0.3">
      <c r="A5" s="2">
        <v>12.5</v>
      </c>
      <c r="B5" s="1">
        <f>COUNTIF('données + numéro d''équipe'!$A$2:$A$155,"&gt;="&amp;A5)</f>
        <v>50</v>
      </c>
      <c r="C5" s="2">
        <f t="shared" si="0"/>
        <v>625</v>
      </c>
    </row>
    <row r="6" spans="1:3" x14ac:dyDescent="0.3">
      <c r="A6" s="2">
        <v>15</v>
      </c>
      <c r="B6" s="1">
        <f>COUNTIF('données + numéro d''équipe'!$A$2:$A$155,"&gt;="&amp;A6)</f>
        <v>48</v>
      </c>
      <c r="C6" s="2">
        <f t="shared" ref="C6:C14" si="1">A6*B6</f>
        <v>720</v>
      </c>
    </row>
    <row r="7" spans="1:3" x14ac:dyDescent="0.3">
      <c r="A7" s="2">
        <v>17.5</v>
      </c>
      <c r="B7" s="1">
        <f>COUNTIF('données + numéro d''équipe'!$A$2:$A$155,"&gt;="&amp;A7)</f>
        <v>39</v>
      </c>
      <c r="C7" s="2">
        <f t="shared" si="1"/>
        <v>682.5</v>
      </c>
    </row>
    <row r="8" spans="1:3" x14ac:dyDescent="0.3">
      <c r="A8" s="2">
        <v>20</v>
      </c>
      <c r="B8" s="1">
        <f>COUNTIF('données + numéro d''équipe'!$A$2:$A$155,"&gt;="&amp;A8)</f>
        <v>39</v>
      </c>
      <c r="C8" s="2">
        <f t="shared" si="1"/>
        <v>780</v>
      </c>
    </row>
    <row r="9" spans="1:3" x14ac:dyDescent="0.3">
      <c r="A9" s="2">
        <v>22.5</v>
      </c>
      <c r="B9" s="1">
        <f>COUNTIF('données + numéro d''équipe'!$A$2:$A$155,"&gt;="&amp;A9)</f>
        <v>25</v>
      </c>
      <c r="C9" s="2">
        <f t="shared" si="1"/>
        <v>562.5</v>
      </c>
    </row>
    <row r="10" spans="1:3" x14ac:dyDescent="0.3">
      <c r="A10" s="2">
        <v>25</v>
      </c>
      <c r="B10" s="1">
        <f>COUNTIF('données + numéro d''équipe'!$A$2:$A$155,"&gt;="&amp;A10)</f>
        <v>22</v>
      </c>
      <c r="C10" s="2">
        <f t="shared" si="1"/>
        <v>550</v>
      </c>
    </row>
    <row r="11" spans="1:3" x14ac:dyDescent="0.3">
      <c r="A11" s="2">
        <v>27.5</v>
      </c>
      <c r="B11" s="1">
        <f>COUNTIF('données + numéro d''équipe'!$A$2:$A$155,"&gt;="&amp;A11)</f>
        <v>18</v>
      </c>
      <c r="C11" s="2">
        <f t="shared" si="1"/>
        <v>495</v>
      </c>
    </row>
    <row r="12" spans="1:3" x14ac:dyDescent="0.3">
      <c r="A12" s="2">
        <v>30</v>
      </c>
      <c r="B12" s="1">
        <f>COUNTIF('données + numéro d''équipe'!$A$2:$A$155,"&gt;="&amp;A12)</f>
        <v>18</v>
      </c>
      <c r="C12" s="2">
        <f t="shared" si="1"/>
        <v>540</v>
      </c>
    </row>
    <row r="13" spans="1:3" x14ac:dyDescent="0.3">
      <c r="A13" s="2">
        <v>32.5</v>
      </c>
      <c r="B13" s="1">
        <f>COUNTIF('données + numéro d''équipe'!$A$2:$A$155,"&gt;="&amp;A13)</f>
        <v>17</v>
      </c>
      <c r="C13" s="2">
        <f t="shared" si="1"/>
        <v>552.5</v>
      </c>
    </row>
    <row r="14" spans="1:3" x14ac:dyDescent="0.3">
      <c r="A14" s="2">
        <v>35</v>
      </c>
      <c r="B14" s="1">
        <f>COUNTIF('données + numéro d''équipe'!$A$2:$A$155,"&gt;="&amp;A14)</f>
        <v>17</v>
      </c>
      <c r="C14" s="2">
        <f t="shared" si="1"/>
        <v>595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topLeftCell="F1" workbookViewId="0">
      <selection activeCell="K26" sqref="K26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15</v>
      </c>
      <c r="B3" s="1">
        <f>COUNTIF('données + numéro d''équipe'!$A$2:$A$155,"&gt;="&amp;A3)</f>
        <v>48</v>
      </c>
      <c r="C3" s="2">
        <f t="shared" ref="C3:C5" si="0">A3*B3</f>
        <v>720</v>
      </c>
    </row>
    <row r="4" spans="1:3" x14ac:dyDescent="0.3">
      <c r="A4" s="2">
        <v>25</v>
      </c>
      <c r="B4" s="1">
        <f>COUNTIF('données + numéro d''équipe'!$A$2:$A$155,"&gt;="&amp;A4)</f>
        <v>22</v>
      </c>
      <c r="C4" s="2">
        <f t="shared" si="0"/>
        <v>550</v>
      </c>
    </row>
    <row r="5" spans="1:3" x14ac:dyDescent="0.3">
      <c r="A5" s="2">
        <v>35</v>
      </c>
      <c r="B5" s="1">
        <f>COUNTIF('données + numéro d''équipe'!$A$2:$A$155,"&gt;="&amp;A5)</f>
        <v>17</v>
      </c>
      <c r="C5" s="2">
        <f t="shared" si="0"/>
        <v>595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>
      <selection activeCell="A2" sqref="A2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</row>
    <row r="3" spans="1:3" x14ac:dyDescent="0.3">
      <c r="A3" s="4">
        <v>5</v>
      </c>
      <c r="B3" s="1">
        <f>COUNTIF('données + numéro d''équipe'!$A$2:$A$155,"&gt;="&amp;A3)</f>
        <v>125</v>
      </c>
      <c r="C3" s="2">
        <f t="shared" ref="C3:C37" si="0">A3*B3</f>
        <v>625</v>
      </c>
    </row>
    <row r="4" spans="1:3" x14ac:dyDescent="0.3">
      <c r="A4" s="4">
        <v>7.5</v>
      </c>
      <c r="B4" s="1">
        <f>COUNTIF('données + numéro d''équipe'!$A$2:$A$155,"&gt;="&amp;A4)</f>
        <v>84</v>
      </c>
      <c r="C4" s="2">
        <f t="shared" si="0"/>
        <v>630</v>
      </c>
    </row>
    <row r="5" spans="1:3" x14ac:dyDescent="0.3">
      <c r="A5" s="4">
        <v>10</v>
      </c>
      <c r="B5" s="1">
        <f>COUNTIF('données + numéro d''équipe'!$A$2:$A$155,"&gt;="&amp;A5)</f>
        <v>80</v>
      </c>
      <c r="C5" s="2">
        <f t="shared" si="0"/>
        <v>800</v>
      </c>
    </row>
    <row r="6" spans="1:3" x14ac:dyDescent="0.3">
      <c r="A6" s="4">
        <v>12.5</v>
      </c>
      <c r="B6" s="1">
        <f>COUNTIF('données + numéro d''équipe'!$A$2:$A$155,"&gt;="&amp;A6)</f>
        <v>50</v>
      </c>
      <c r="C6" s="2">
        <f t="shared" si="0"/>
        <v>625</v>
      </c>
    </row>
    <row r="7" spans="1:3" x14ac:dyDescent="0.3">
      <c r="A7" s="4">
        <v>15</v>
      </c>
      <c r="B7" s="1">
        <f>COUNTIF('données + numéro d''équipe'!$A$2:$A$155,"&gt;="&amp;A7)</f>
        <v>48</v>
      </c>
      <c r="C7" s="2">
        <f t="shared" si="0"/>
        <v>720</v>
      </c>
    </row>
    <row r="8" spans="1:3" x14ac:dyDescent="0.3">
      <c r="A8" s="4">
        <v>17.5</v>
      </c>
      <c r="B8" s="1">
        <f>COUNTIF('données + numéro d''équipe'!$A$2:$A$155,"&gt;="&amp;A8)</f>
        <v>39</v>
      </c>
      <c r="C8" s="2">
        <f t="shared" si="0"/>
        <v>682.5</v>
      </c>
    </row>
    <row r="9" spans="1:3" x14ac:dyDescent="0.3">
      <c r="A9" s="4">
        <v>20</v>
      </c>
      <c r="B9" s="1">
        <f>COUNTIF('données + numéro d''équipe'!$A$2:$A$155,"&gt;="&amp;A9)</f>
        <v>39</v>
      </c>
      <c r="C9" s="2">
        <f t="shared" si="0"/>
        <v>780</v>
      </c>
    </row>
    <row r="10" spans="1:3" x14ac:dyDescent="0.3">
      <c r="A10" s="4">
        <v>22.5</v>
      </c>
      <c r="B10" s="1">
        <f>COUNTIF('données + numéro d''équipe'!$A$2:$A$155,"&gt;="&amp;A10)</f>
        <v>25</v>
      </c>
      <c r="C10" s="2">
        <f t="shared" si="0"/>
        <v>562.5</v>
      </c>
    </row>
    <row r="11" spans="1:3" x14ac:dyDescent="0.3">
      <c r="A11" s="4">
        <v>25</v>
      </c>
      <c r="B11" s="1">
        <f>COUNTIF('données + numéro d''équipe'!$A$2:$A$155,"&gt;="&amp;A11)</f>
        <v>22</v>
      </c>
      <c r="C11" s="2">
        <f t="shared" si="0"/>
        <v>550</v>
      </c>
    </row>
    <row r="12" spans="1:3" x14ac:dyDescent="0.3">
      <c r="A12" s="4">
        <v>27.5</v>
      </c>
      <c r="B12" s="1">
        <f>COUNTIF('données + numéro d''équipe'!$A$2:$A$155,"&gt;="&amp;A12)</f>
        <v>18</v>
      </c>
      <c r="C12" s="2">
        <f t="shared" si="0"/>
        <v>495</v>
      </c>
    </row>
    <row r="13" spans="1:3" x14ac:dyDescent="0.3">
      <c r="A13" s="4">
        <v>30</v>
      </c>
      <c r="B13" s="1">
        <f>COUNTIF('données + numéro d''équipe'!$A$2:$A$155,"&gt;="&amp;A13)</f>
        <v>18</v>
      </c>
      <c r="C13" s="2">
        <f t="shared" si="0"/>
        <v>540</v>
      </c>
    </row>
    <row r="14" spans="1:3" x14ac:dyDescent="0.3">
      <c r="A14" s="4">
        <v>32.5</v>
      </c>
      <c r="B14" s="1">
        <f>COUNTIF('données + numéro d''équipe'!$A$2:$A$155,"&gt;="&amp;A14)</f>
        <v>17</v>
      </c>
      <c r="C14" s="2">
        <f t="shared" si="0"/>
        <v>552.5</v>
      </c>
    </row>
    <row r="15" spans="1:3" x14ac:dyDescent="0.3">
      <c r="A15" s="4">
        <v>35</v>
      </c>
      <c r="B15" s="1">
        <f>COUNTIF('données + numéro d''équipe'!$A$2:$A$155,"&gt;="&amp;A15)</f>
        <v>17</v>
      </c>
      <c r="C15" s="2">
        <f t="shared" si="0"/>
        <v>595</v>
      </c>
    </row>
    <row r="16" spans="1:3" x14ac:dyDescent="0.3">
      <c r="A16" s="4">
        <v>37.5</v>
      </c>
      <c r="B16" s="1">
        <f>COUNTIF('données + numéro d''équipe'!$A$2:$A$155,"&gt;="&amp;A16)</f>
        <v>17</v>
      </c>
      <c r="C16" s="2">
        <f t="shared" si="0"/>
        <v>637.5</v>
      </c>
    </row>
    <row r="17" spans="1:3" x14ac:dyDescent="0.3">
      <c r="A17" s="4">
        <v>40</v>
      </c>
      <c r="B17" s="1">
        <f>COUNTIF('données + numéro d''équipe'!$A$2:$A$155,"&gt;="&amp;A17)</f>
        <v>17</v>
      </c>
      <c r="C17" s="2">
        <f t="shared" si="0"/>
        <v>680</v>
      </c>
    </row>
    <row r="18" spans="1:3" x14ac:dyDescent="0.3">
      <c r="A18" s="4">
        <v>42.5</v>
      </c>
      <c r="B18" s="1">
        <f>COUNTIF('données + numéro d''équipe'!$A$2:$A$155,"&gt;="&amp;A18)</f>
        <v>11</v>
      </c>
      <c r="C18" s="2">
        <f t="shared" si="0"/>
        <v>467.5</v>
      </c>
    </row>
    <row r="19" spans="1:3" x14ac:dyDescent="0.3">
      <c r="A19" s="4">
        <v>45</v>
      </c>
      <c r="B19" s="1">
        <f>COUNTIF('données + numéro d''équipe'!$A$2:$A$155,"&gt;="&amp;A19)</f>
        <v>11</v>
      </c>
      <c r="C19" s="2">
        <f t="shared" si="0"/>
        <v>495</v>
      </c>
    </row>
    <row r="20" spans="1:3" x14ac:dyDescent="0.3">
      <c r="A20" s="4">
        <v>47.5</v>
      </c>
      <c r="B20" s="1">
        <f>COUNTIF('données + numéro d''équipe'!$A$2:$A$155,"&gt;="&amp;A20)</f>
        <v>11</v>
      </c>
      <c r="C20" s="2">
        <f t="shared" si="0"/>
        <v>522.5</v>
      </c>
    </row>
    <row r="21" spans="1:3" x14ac:dyDescent="0.3">
      <c r="A21" s="4">
        <v>50</v>
      </c>
      <c r="B21" s="1">
        <f>COUNTIF('données + numéro d''équipe'!$A$2:$A$155,"&gt;="&amp;A21)</f>
        <v>11</v>
      </c>
      <c r="C21" s="2">
        <f t="shared" si="0"/>
        <v>550</v>
      </c>
    </row>
    <row r="22" spans="1:3" x14ac:dyDescent="0.3">
      <c r="A22" s="4">
        <v>52.5</v>
      </c>
      <c r="B22" s="1">
        <f>COUNTIF('données + numéro d''équipe'!$A$2:$A$155,"&gt;="&amp;A22)</f>
        <v>4</v>
      </c>
      <c r="C22" s="2">
        <f t="shared" si="0"/>
        <v>210</v>
      </c>
    </row>
    <row r="23" spans="1:3" x14ac:dyDescent="0.3">
      <c r="A23" s="4">
        <v>55</v>
      </c>
      <c r="B23" s="1">
        <f>COUNTIF('données + numéro d''équipe'!$A$2:$A$155,"&gt;="&amp;A23)</f>
        <v>3</v>
      </c>
      <c r="C23" s="2">
        <f t="shared" si="0"/>
        <v>165</v>
      </c>
    </row>
    <row r="24" spans="1:3" x14ac:dyDescent="0.3">
      <c r="A24" s="4">
        <v>57.5</v>
      </c>
      <c r="B24" s="1">
        <f>COUNTIF('données + numéro d''équipe'!$A$2:$A$155,"&gt;="&amp;A24)</f>
        <v>3</v>
      </c>
      <c r="C24" s="2">
        <f t="shared" si="0"/>
        <v>172.5</v>
      </c>
    </row>
    <row r="25" spans="1:3" x14ac:dyDescent="0.3">
      <c r="A25" s="4">
        <v>60</v>
      </c>
      <c r="B25" s="1">
        <f>COUNTIF('données + numéro d''équipe'!$A$2:$A$155,"&gt;="&amp;A25)</f>
        <v>3</v>
      </c>
      <c r="C25" s="2">
        <f t="shared" si="0"/>
        <v>180</v>
      </c>
    </row>
    <row r="26" spans="1:3" x14ac:dyDescent="0.3">
      <c r="A26" s="4">
        <v>62.5</v>
      </c>
      <c r="B26" s="1">
        <f>COUNTIF('données + numéro d''équipe'!$A$2:$A$155,"&gt;="&amp;A26)</f>
        <v>3</v>
      </c>
      <c r="C26" s="2">
        <f t="shared" si="0"/>
        <v>187.5</v>
      </c>
    </row>
    <row r="27" spans="1:3" x14ac:dyDescent="0.3">
      <c r="A27" s="4">
        <v>65</v>
      </c>
      <c r="B27" s="1">
        <f>COUNTIF('données + numéro d''équipe'!$A$2:$A$155,"&gt;="&amp;A27)</f>
        <v>3</v>
      </c>
      <c r="C27" s="2">
        <f t="shared" si="0"/>
        <v>195</v>
      </c>
    </row>
    <row r="28" spans="1:3" x14ac:dyDescent="0.3">
      <c r="A28" s="4">
        <v>67.5</v>
      </c>
      <c r="B28" s="1">
        <f>COUNTIF('données + numéro d''équipe'!$A$2:$A$155,"&gt;="&amp;A28)</f>
        <v>3</v>
      </c>
      <c r="C28" s="2">
        <f t="shared" si="0"/>
        <v>202.5</v>
      </c>
    </row>
    <row r="29" spans="1:3" x14ac:dyDescent="0.3">
      <c r="A29" s="4">
        <v>70</v>
      </c>
      <c r="B29" s="1">
        <f>COUNTIF('données + numéro d''équipe'!$A$2:$A$155,"&gt;="&amp;A29)</f>
        <v>3</v>
      </c>
      <c r="C29" s="2">
        <f t="shared" si="0"/>
        <v>210</v>
      </c>
    </row>
    <row r="30" spans="1:3" x14ac:dyDescent="0.3">
      <c r="A30" s="4">
        <v>72.5</v>
      </c>
      <c r="B30" s="1">
        <f>COUNTIF('données + numéro d''équipe'!$A$2:$A$155,"&gt;="&amp;A30)</f>
        <v>3</v>
      </c>
      <c r="C30" s="2">
        <f t="shared" si="0"/>
        <v>217.5</v>
      </c>
    </row>
    <row r="31" spans="1:3" x14ac:dyDescent="0.3">
      <c r="A31" s="4">
        <v>75</v>
      </c>
      <c r="B31" s="1">
        <f>COUNTIF('données + numéro d''équipe'!$A$2:$A$155,"&gt;="&amp;A31)</f>
        <v>3</v>
      </c>
      <c r="C31" s="2">
        <f t="shared" si="0"/>
        <v>225</v>
      </c>
    </row>
    <row r="32" spans="1:3" x14ac:dyDescent="0.3">
      <c r="A32" s="4">
        <v>77.5</v>
      </c>
      <c r="B32" s="1">
        <f>COUNTIF('données + numéro d''équipe'!$A$2:$A$155,"&gt;="&amp;A32)</f>
        <v>3</v>
      </c>
      <c r="C32" s="2">
        <f t="shared" si="0"/>
        <v>232.5</v>
      </c>
    </row>
    <row r="33" spans="1:3" x14ac:dyDescent="0.3">
      <c r="A33" s="4">
        <v>80</v>
      </c>
      <c r="B33" s="1">
        <f>COUNTIF('données + numéro d''équipe'!$A$2:$A$155,"&gt;="&amp;A33)</f>
        <v>3</v>
      </c>
      <c r="C33" s="2">
        <f t="shared" si="0"/>
        <v>240</v>
      </c>
    </row>
    <row r="34" spans="1:3" x14ac:dyDescent="0.3">
      <c r="A34" s="4">
        <v>82.5</v>
      </c>
      <c r="B34" s="1">
        <f>COUNTIF('données + numéro d''équipe'!$A$2:$A$155,"&gt;="&amp;A34)</f>
        <v>3</v>
      </c>
      <c r="C34" s="2">
        <f t="shared" si="0"/>
        <v>247.5</v>
      </c>
    </row>
    <row r="35" spans="1:3" x14ac:dyDescent="0.3">
      <c r="A35" s="4">
        <v>85</v>
      </c>
      <c r="B35" s="1">
        <f>COUNTIF('données + numéro d''équipe'!$A$2:$A$155,"&gt;="&amp;A35)</f>
        <v>3</v>
      </c>
      <c r="C35" s="2">
        <f t="shared" si="0"/>
        <v>255</v>
      </c>
    </row>
    <row r="36" spans="1:3" x14ac:dyDescent="0.3">
      <c r="A36" s="4">
        <v>87.5</v>
      </c>
      <c r="B36" s="1">
        <f>COUNTIF('données + numéro d''équipe'!$A$2:$A$155,"&gt;="&amp;A36)</f>
        <v>3</v>
      </c>
      <c r="C36" s="2">
        <f t="shared" si="0"/>
        <v>262.5</v>
      </c>
    </row>
    <row r="37" spans="1:3" x14ac:dyDescent="0.3">
      <c r="A37" s="4">
        <v>90</v>
      </c>
      <c r="B37" s="1">
        <f>COUNTIF('données + numéro d''équipe'!$A$2:$A$155,"&gt;="&amp;A37)</f>
        <v>3</v>
      </c>
      <c r="C37" s="2">
        <f t="shared" si="0"/>
        <v>270</v>
      </c>
    </row>
    <row r="38" spans="1:3" x14ac:dyDescent="0.3">
      <c r="A38" s="4">
        <v>92.5</v>
      </c>
      <c r="B38" s="1">
        <f>COUNTIF('données + numéro d''équipe'!$A$2:$A$155,"&gt;="&amp;A38)</f>
        <v>3</v>
      </c>
      <c r="C38" s="2">
        <f t="shared" ref="C38:C41" si="1">A38*B38</f>
        <v>277.5</v>
      </c>
    </row>
    <row r="39" spans="1:3" x14ac:dyDescent="0.3">
      <c r="A39" s="4">
        <v>95</v>
      </c>
      <c r="B39" s="1">
        <f>COUNTIF('données + numéro d''équipe'!$A$2:$A$155,"&gt;="&amp;A39)</f>
        <v>3</v>
      </c>
      <c r="C39" s="2">
        <f t="shared" si="1"/>
        <v>285</v>
      </c>
    </row>
    <row r="40" spans="1:3" x14ac:dyDescent="0.3">
      <c r="A40" s="4">
        <v>97.5</v>
      </c>
      <c r="B40" s="1">
        <f>COUNTIF('données + numéro d''équipe'!$A$2:$A$155,"&gt;="&amp;A40)</f>
        <v>3</v>
      </c>
      <c r="C40" s="2">
        <f t="shared" si="1"/>
        <v>292.5</v>
      </c>
    </row>
    <row r="41" spans="1:3" x14ac:dyDescent="0.3">
      <c r="A41" s="4">
        <v>100</v>
      </c>
      <c r="B41" s="1">
        <f>COUNTIF('données + numéro d''équipe'!$A$2:$A$155,"&gt;="&amp;A41)</f>
        <v>3</v>
      </c>
      <c r="C41" s="2">
        <f t="shared" si="1"/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zoomScale="85" zoomScaleNormal="85" workbookViewId="0">
      <selection activeCell="B5" sqref="B5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</row>
    <row r="3" spans="1:3" x14ac:dyDescent="0.3">
      <c r="A3" s="4">
        <v>5</v>
      </c>
      <c r="B3" s="1">
        <f>COUNTIF('données + numéro d''équipe'!$A$2:$A$155,"&gt;="&amp;A3)</f>
        <v>125</v>
      </c>
      <c r="C3" s="2">
        <f t="shared" ref="C3:C37" si="0">A3*B3</f>
        <v>625</v>
      </c>
    </row>
    <row r="4" spans="1:3" x14ac:dyDescent="0.3">
      <c r="A4" s="4">
        <v>7.5</v>
      </c>
      <c r="B4" s="1">
        <f>COUNTIF('données + numéro d''équipe'!$A$2:$A$155,"&gt;="&amp;A4)</f>
        <v>84</v>
      </c>
      <c r="C4" s="2">
        <f t="shared" si="0"/>
        <v>630</v>
      </c>
    </row>
    <row r="5" spans="1:3" x14ac:dyDescent="0.3">
      <c r="A5" s="4">
        <v>10</v>
      </c>
      <c r="B5" s="1">
        <f>COUNTIF('données + numéro d''équipe'!$A$2:$A$155,"&gt;="&amp;A5)</f>
        <v>80</v>
      </c>
      <c r="C5" s="2">
        <f t="shared" si="0"/>
        <v>800</v>
      </c>
    </row>
    <row r="6" spans="1:3" x14ac:dyDescent="0.3">
      <c r="A6" s="4">
        <v>12.5</v>
      </c>
      <c r="B6" s="1">
        <f>COUNTIF('données + numéro d''équipe'!$A$2:$A$155,"&gt;="&amp;A6)</f>
        <v>50</v>
      </c>
      <c r="C6" s="2">
        <f t="shared" si="0"/>
        <v>625</v>
      </c>
    </row>
    <row r="7" spans="1:3" x14ac:dyDescent="0.3">
      <c r="A7" s="4">
        <v>15</v>
      </c>
      <c r="B7" s="1">
        <f>COUNTIF('données + numéro d''équipe'!$A$2:$A$155,"&gt;="&amp;A7)</f>
        <v>48</v>
      </c>
      <c r="C7" s="2">
        <f t="shared" si="0"/>
        <v>720</v>
      </c>
    </row>
    <row r="8" spans="1:3" x14ac:dyDescent="0.3">
      <c r="A8" s="4">
        <v>17.5</v>
      </c>
      <c r="B8" s="1">
        <f>COUNTIF('données + numéro d''équipe'!$A$2:$A$155,"&gt;="&amp;A8)</f>
        <v>39</v>
      </c>
      <c r="C8" s="2">
        <f t="shared" si="0"/>
        <v>682.5</v>
      </c>
    </row>
    <row r="9" spans="1:3" x14ac:dyDescent="0.3">
      <c r="A9" s="4">
        <v>20</v>
      </c>
      <c r="B9" s="1">
        <f>COUNTIF('données + numéro d''équipe'!$A$2:$A$155,"&gt;="&amp;A9)</f>
        <v>39</v>
      </c>
      <c r="C9" s="2">
        <f t="shared" si="0"/>
        <v>780</v>
      </c>
    </row>
    <row r="10" spans="1:3" x14ac:dyDescent="0.3">
      <c r="A10" s="4">
        <v>22.5</v>
      </c>
      <c r="B10" s="1">
        <f>COUNTIF('données + numéro d''équipe'!$A$2:$A$155,"&gt;="&amp;A10)</f>
        <v>25</v>
      </c>
      <c r="C10" s="2">
        <f t="shared" si="0"/>
        <v>562.5</v>
      </c>
    </row>
    <row r="11" spans="1:3" x14ac:dyDescent="0.3">
      <c r="A11" s="4">
        <v>25</v>
      </c>
      <c r="B11" s="1">
        <f>COUNTIF('données + numéro d''équipe'!$A$2:$A$155,"&gt;="&amp;A11)</f>
        <v>22</v>
      </c>
      <c r="C11" s="2">
        <f t="shared" si="0"/>
        <v>550</v>
      </c>
    </row>
    <row r="12" spans="1:3" x14ac:dyDescent="0.3">
      <c r="A12" s="4">
        <v>27.5</v>
      </c>
      <c r="B12" s="1">
        <f>COUNTIF('données + numéro d''équipe'!$A$2:$A$155,"&gt;="&amp;A12)</f>
        <v>18</v>
      </c>
      <c r="C12" s="2">
        <f t="shared" si="0"/>
        <v>495</v>
      </c>
    </row>
    <row r="13" spans="1:3" x14ac:dyDescent="0.3">
      <c r="A13" s="4">
        <v>30</v>
      </c>
      <c r="B13" s="1">
        <f>COUNTIF('données + numéro d''équipe'!$A$2:$A$155,"&gt;="&amp;A13)</f>
        <v>18</v>
      </c>
      <c r="C13" s="2">
        <f t="shared" si="0"/>
        <v>540</v>
      </c>
    </row>
    <row r="14" spans="1:3" x14ac:dyDescent="0.3">
      <c r="A14" s="4">
        <v>32.5</v>
      </c>
      <c r="B14" s="1">
        <f>COUNTIF('données + numéro d''équipe'!$A$2:$A$155,"&gt;="&amp;A14)</f>
        <v>17</v>
      </c>
      <c r="C14" s="2">
        <f t="shared" si="0"/>
        <v>552.5</v>
      </c>
    </row>
    <row r="15" spans="1:3" x14ac:dyDescent="0.3">
      <c r="A15" s="4">
        <v>35</v>
      </c>
      <c r="B15" s="1">
        <f>COUNTIF('données + numéro d''équipe'!$A$2:$A$155,"&gt;="&amp;A15)</f>
        <v>17</v>
      </c>
      <c r="C15" s="2">
        <f t="shared" si="0"/>
        <v>595</v>
      </c>
    </row>
    <row r="16" spans="1:3" x14ac:dyDescent="0.3">
      <c r="A16" s="4">
        <v>37.5</v>
      </c>
      <c r="B16" s="1">
        <f>COUNTIF('données + numéro d''équipe'!$A$2:$A$155,"&gt;="&amp;A16)</f>
        <v>17</v>
      </c>
      <c r="C16" s="2">
        <f t="shared" si="0"/>
        <v>637.5</v>
      </c>
    </row>
    <row r="17" spans="1:3" x14ac:dyDescent="0.3">
      <c r="A17" s="4">
        <v>40</v>
      </c>
      <c r="B17" s="1">
        <f>COUNTIF('données + numéro d''équipe'!$A$2:$A$155,"&gt;="&amp;A17)</f>
        <v>17</v>
      </c>
      <c r="C17" s="2">
        <f t="shared" si="0"/>
        <v>680</v>
      </c>
    </row>
    <row r="18" spans="1:3" x14ac:dyDescent="0.3">
      <c r="A18" s="4">
        <v>42.5</v>
      </c>
      <c r="B18" s="1">
        <f>COUNTIF('données + numéro d''équipe'!$A$2:$A$155,"&gt;="&amp;A18)</f>
        <v>11</v>
      </c>
      <c r="C18" s="2">
        <f t="shared" si="0"/>
        <v>467.5</v>
      </c>
    </row>
    <row r="19" spans="1:3" x14ac:dyDescent="0.3">
      <c r="A19" s="4">
        <v>45</v>
      </c>
      <c r="B19" s="1">
        <f>COUNTIF('données + numéro d''équipe'!$A$2:$A$155,"&gt;="&amp;A19)</f>
        <v>11</v>
      </c>
      <c r="C19" s="2">
        <f t="shared" si="0"/>
        <v>495</v>
      </c>
    </row>
    <row r="20" spans="1:3" x14ac:dyDescent="0.3">
      <c r="A20" s="4">
        <v>47.5</v>
      </c>
      <c r="B20" s="1">
        <f>COUNTIF('données + numéro d''équipe'!$A$2:$A$155,"&gt;="&amp;A20)</f>
        <v>11</v>
      </c>
      <c r="C20" s="2">
        <f t="shared" si="0"/>
        <v>522.5</v>
      </c>
    </row>
    <row r="21" spans="1:3" x14ac:dyDescent="0.3">
      <c r="A21" s="4">
        <v>50</v>
      </c>
      <c r="B21" s="1">
        <f>COUNTIF('données + numéro d''équipe'!$A$2:$A$155,"&gt;="&amp;A21)</f>
        <v>11</v>
      </c>
      <c r="C21" s="2">
        <f t="shared" si="0"/>
        <v>550</v>
      </c>
    </row>
    <row r="22" spans="1:3" x14ac:dyDescent="0.3">
      <c r="A22" s="4">
        <v>52.5</v>
      </c>
      <c r="B22" s="1">
        <f>COUNTIF('données + numéro d''équipe'!$A$2:$A$155,"&gt;="&amp;A22)</f>
        <v>4</v>
      </c>
      <c r="C22" s="2">
        <f t="shared" si="0"/>
        <v>210</v>
      </c>
    </row>
    <row r="23" spans="1:3" x14ac:dyDescent="0.3">
      <c r="A23" s="4">
        <v>55</v>
      </c>
      <c r="B23" s="1">
        <f>COUNTIF('données + numéro d''équipe'!$A$2:$A$155,"&gt;="&amp;A23)</f>
        <v>3</v>
      </c>
      <c r="C23" s="2">
        <f t="shared" si="0"/>
        <v>165</v>
      </c>
    </row>
    <row r="24" spans="1:3" x14ac:dyDescent="0.3">
      <c r="A24" s="4">
        <v>57.5</v>
      </c>
      <c r="B24" s="1">
        <f>COUNTIF('données + numéro d''équipe'!$A$2:$A$155,"&gt;="&amp;A24)</f>
        <v>3</v>
      </c>
      <c r="C24" s="2">
        <f t="shared" si="0"/>
        <v>172.5</v>
      </c>
    </row>
    <row r="25" spans="1:3" x14ac:dyDescent="0.3">
      <c r="A25" s="4">
        <v>60</v>
      </c>
      <c r="B25" s="1">
        <f>COUNTIF('données + numéro d''équipe'!$A$2:$A$155,"&gt;="&amp;A25)</f>
        <v>3</v>
      </c>
      <c r="C25" s="2">
        <f t="shared" si="0"/>
        <v>180</v>
      </c>
    </row>
    <row r="26" spans="1:3" x14ac:dyDescent="0.3">
      <c r="A26" s="4">
        <v>62.5</v>
      </c>
      <c r="B26" s="1">
        <f>COUNTIF('données + numéro d''équipe'!$A$2:$A$155,"&gt;="&amp;A26)</f>
        <v>3</v>
      </c>
      <c r="C26" s="2">
        <f t="shared" si="0"/>
        <v>187.5</v>
      </c>
    </row>
    <row r="27" spans="1:3" x14ac:dyDescent="0.3">
      <c r="A27" s="4">
        <v>65</v>
      </c>
      <c r="B27" s="1">
        <f>COUNTIF('données + numéro d''équipe'!$A$2:$A$155,"&gt;="&amp;A27)</f>
        <v>3</v>
      </c>
      <c r="C27" s="2">
        <f t="shared" si="0"/>
        <v>195</v>
      </c>
    </row>
    <row r="28" spans="1:3" x14ac:dyDescent="0.3">
      <c r="A28" s="4">
        <v>67.5</v>
      </c>
      <c r="B28" s="1">
        <f>COUNTIF('données + numéro d''équipe'!$A$2:$A$155,"&gt;="&amp;A28)</f>
        <v>3</v>
      </c>
      <c r="C28" s="2">
        <f t="shared" si="0"/>
        <v>202.5</v>
      </c>
    </row>
    <row r="29" spans="1:3" x14ac:dyDescent="0.3">
      <c r="A29" s="4">
        <v>70</v>
      </c>
      <c r="B29" s="1">
        <f>COUNTIF('données + numéro d''équipe'!$A$2:$A$155,"&gt;="&amp;A29)</f>
        <v>3</v>
      </c>
      <c r="C29" s="2">
        <f t="shared" si="0"/>
        <v>210</v>
      </c>
    </row>
    <row r="30" spans="1:3" x14ac:dyDescent="0.3">
      <c r="A30" s="4">
        <v>72.5</v>
      </c>
      <c r="B30" s="1">
        <f>COUNTIF('données + numéro d''équipe'!$A$2:$A$155,"&gt;="&amp;A30)</f>
        <v>3</v>
      </c>
      <c r="C30" s="2">
        <f t="shared" si="0"/>
        <v>217.5</v>
      </c>
    </row>
    <row r="31" spans="1:3" x14ac:dyDescent="0.3">
      <c r="A31" s="4">
        <v>75</v>
      </c>
      <c r="B31" s="1">
        <f>COUNTIF('données + numéro d''équipe'!$A$2:$A$155,"&gt;="&amp;A31)</f>
        <v>3</v>
      </c>
      <c r="C31" s="2">
        <f t="shared" si="0"/>
        <v>225</v>
      </c>
    </row>
    <row r="32" spans="1:3" x14ac:dyDescent="0.3">
      <c r="A32" s="4">
        <v>77.5</v>
      </c>
      <c r="B32" s="1">
        <f>COUNTIF('données + numéro d''équipe'!$A$2:$A$155,"&gt;="&amp;A32)</f>
        <v>3</v>
      </c>
      <c r="C32" s="2">
        <f t="shared" si="0"/>
        <v>232.5</v>
      </c>
    </row>
    <row r="33" spans="1:3" x14ac:dyDescent="0.3">
      <c r="A33" s="4">
        <v>80</v>
      </c>
      <c r="B33" s="1">
        <f>COUNTIF('données + numéro d''équipe'!$A$2:$A$155,"&gt;="&amp;A33)</f>
        <v>3</v>
      </c>
      <c r="C33" s="2">
        <f t="shared" si="0"/>
        <v>240</v>
      </c>
    </row>
    <row r="34" spans="1:3" x14ac:dyDescent="0.3">
      <c r="A34" s="4">
        <v>82.5</v>
      </c>
      <c r="B34" s="1">
        <f>COUNTIF('données + numéro d''équipe'!$A$2:$A$155,"&gt;="&amp;A34)</f>
        <v>3</v>
      </c>
      <c r="C34" s="2">
        <f t="shared" si="0"/>
        <v>247.5</v>
      </c>
    </row>
    <row r="35" spans="1:3" x14ac:dyDescent="0.3">
      <c r="A35" s="4">
        <v>85</v>
      </c>
      <c r="B35" s="1">
        <f>COUNTIF('données + numéro d''équipe'!$A$2:$A$155,"&gt;="&amp;A35)</f>
        <v>3</v>
      </c>
      <c r="C35" s="2">
        <f t="shared" si="0"/>
        <v>255</v>
      </c>
    </row>
    <row r="36" spans="1:3" x14ac:dyDescent="0.3">
      <c r="A36" s="4">
        <v>87.5</v>
      </c>
      <c r="B36" s="1">
        <f>COUNTIF('données + numéro d''équipe'!$A$2:$A$155,"&gt;="&amp;A36)</f>
        <v>3</v>
      </c>
      <c r="C36" s="2">
        <f t="shared" si="0"/>
        <v>262.5</v>
      </c>
    </row>
    <row r="37" spans="1:3" x14ac:dyDescent="0.3">
      <c r="A37" s="4">
        <v>90</v>
      </c>
      <c r="B37" s="1">
        <f>COUNTIF('données + numéro d''équipe'!$A$2:$A$155,"&gt;="&amp;A37)</f>
        <v>3</v>
      </c>
      <c r="C37" s="2">
        <f t="shared" si="0"/>
        <v>270</v>
      </c>
    </row>
    <row r="38" spans="1:3" x14ac:dyDescent="0.3">
      <c r="A38" s="4">
        <v>92.5</v>
      </c>
      <c r="B38" s="1">
        <f>COUNTIF('données + numéro d''équipe'!$A$2:$A$155,"&gt;="&amp;A38)</f>
        <v>3</v>
      </c>
      <c r="C38" s="2">
        <f t="shared" ref="C38:C41" si="1">A38*B38</f>
        <v>277.5</v>
      </c>
    </row>
    <row r="39" spans="1:3" x14ac:dyDescent="0.3">
      <c r="A39" s="4">
        <v>95</v>
      </c>
      <c r="B39" s="1">
        <f>COUNTIF('données + numéro d''équipe'!$A$2:$A$155,"&gt;="&amp;A39)</f>
        <v>3</v>
      </c>
      <c r="C39" s="2">
        <f t="shared" si="1"/>
        <v>285</v>
      </c>
    </row>
    <row r="40" spans="1:3" x14ac:dyDescent="0.3">
      <c r="A40" s="4">
        <v>97.5</v>
      </c>
      <c r="B40" s="1">
        <f>COUNTIF('données + numéro d''équipe'!$A$2:$A$155,"&gt;="&amp;A40)</f>
        <v>3</v>
      </c>
      <c r="C40" s="2">
        <f t="shared" si="1"/>
        <v>292.5</v>
      </c>
    </row>
    <row r="41" spans="1:3" x14ac:dyDescent="0.3">
      <c r="A41" s="4">
        <v>100</v>
      </c>
      <c r="B41" s="1">
        <f>COUNTIF('données + numéro d''équipe'!$A$2:$A$155,"&gt;="&amp;A41)</f>
        <v>3</v>
      </c>
      <c r="C41" s="2">
        <f t="shared" si="1"/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1"/>
  <sheetViews>
    <sheetView zoomScale="85" zoomScaleNormal="85" workbookViewId="0">
      <selection activeCell="H27" sqref="H27"/>
    </sheetView>
  </sheetViews>
  <sheetFormatPr defaultColWidth="11.5546875" defaultRowHeight="14.4" x14ac:dyDescent="0.3"/>
  <cols>
    <col min="2" max="2" width="11.6640625" customWidth="1"/>
    <col min="4" max="4" width="17.6640625" style="1" customWidth="1"/>
    <col min="5" max="5" width="13.6640625" customWidth="1"/>
  </cols>
  <sheetData>
    <row r="1" spans="1:5" ht="28.8" x14ac:dyDescent="0.3">
      <c r="A1" s="3" t="s">
        <v>0</v>
      </c>
      <c r="B1" s="3" t="s">
        <v>1</v>
      </c>
      <c r="C1" s="3" t="s">
        <v>2</v>
      </c>
      <c r="D1" s="5" t="s">
        <v>3</v>
      </c>
      <c r="E1" s="6" t="s">
        <v>4</v>
      </c>
    </row>
    <row r="2" spans="1:5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  <c r="D2" s="9">
        <f t="shared" ref="D2:D41" si="0">72.331*EXP(-0.04*A2)</f>
        <v>65.447795283958996</v>
      </c>
      <c r="E2" s="7">
        <f t="shared" ref="E2:E41" si="1">D2*A2</f>
        <v>163.6194882098975</v>
      </c>
    </row>
    <row r="3" spans="1:5" x14ac:dyDescent="0.3">
      <c r="A3" s="4">
        <v>5</v>
      </c>
      <c r="B3" s="1">
        <f>COUNTIF('données + numéro d''équipe'!$A$2:$A$155,"&gt;="&amp;A3)</f>
        <v>125</v>
      </c>
      <c r="C3" s="2">
        <f t="shared" ref="C3:C41" si="2">A3*B3</f>
        <v>625</v>
      </c>
      <c r="D3" s="9">
        <f t="shared" si="0"/>
        <v>59.219614100883504</v>
      </c>
      <c r="E3" s="7">
        <f t="shared" si="1"/>
        <v>296.09807050441754</v>
      </c>
    </row>
    <row r="4" spans="1:5" x14ac:dyDescent="0.3">
      <c r="A4" s="4">
        <v>7.5</v>
      </c>
      <c r="B4" s="1">
        <f>COUNTIF('données + numéro d''équipe'!$A$2:$A$155,"&gt;="&amp;A4)</f>
        <v>84</v>
      </c>
      <c r="C4" s="2">
        <f t="shared" si="2"/>
        <v>630</v>
      </c>
      <c r="D4" s="9">
        <f t="shared" si="0"/>
        <v>53.584122720129336</v>
      </c>
      <c r="E4" s="7">
        <f t="shared" si="1"/>
        <v>401.88092040097001</v>
      </c>
    </row>
    <row r="5" spans="1:5" x14ac:dyDescent="0.3">
      <c r="A5" s="4">
        <v>10</v>
      </c>
      <c r="B5" s="1">
        <f>COUNTIF('données + numéro d''équipe'!$A$2:$A$155,"&gt;="&amp;A5)</f>
        <v>80</v>
      </c>
      <c r="C5" s="2">
        <f t="shared" si="2"/>
        <v>800</v>
      </c>
      <c r="D5" s="9">
        <f t="shared" si="0"/>
        <v>48.484919249803831</v>
      </c>
      <c r="E5" s="7">
        <f t="shared" si="1"/>
        <v>484.84919249803829</v>
      </c>
    </row>
    <row r="6" spans="1:5" x14ac:dyDescent="0.3">
      <c r="A6" s="4">
        <v>12.5</v>
      </c>
      <c r="B6" s="1">
        <f>COUNTIF('données + numéro d''équipe'!$A$2:$A$155,"&gt;="&amp;A6)</f>
        <v>50</v>
      </c>
      <c r="C6" s="2">
        <f t="shared" si="2"/>
        <v>625</v>
      </c>
      <c r="D6" s="9">
        <f t="shared" si="0"/>
        <v>43.870969147674487</v>
      </c>
      <c r="E6" s="7">
        <f t="shared" si="1"/>
        <v>548.38711434593108</v>
      </c>
    </row>
    <row r="7" spans="1:5" x14ac:dyDescent="0.3">
      <c r="A7" s="4">
        <v>15</v>
      </c>
      <c r="B7" s="1">
        <f>COUNTIF('données + numéro d''équipe'!$A$2:$A$155,"&gt;="&amp;A7)</f>
        <v>48</v>
      </c>
      <c r="C7" s="2">
        <f t="shared" si="2"/>
        <v>720</v>
      </c>
      <c r="D7" s="9">
        <f t="shared" si="0"/>
        <v>39.696094450317027</v>
      </c>
      <c r="E7" s="7">
        <f t="shared" si="1"/>
        <v>595.44141675475544</v>
      </c>
    </row>
    <row r="8" spans="1:5" x14ac:dyDescent="0.3">
      <c r="A8" s="4">
        <v>17.5</v>
      </c>
      <c r="B8" s="1">
        <f>COUNTIF('données + numéro d''équipe'!$A$2:$A$155,"&gt;="&amp;A8)</f>
        <v>39</v>
      </c>
      <c r="C8" s="2">
        <f t="shared" si="2"/>
        <v>682.5</v>
      </c>
      <c r="D8" s="9">
        <f t="shared" si="0"/>
        <v>35.918511608536441</v>
      </c>
      <c r="E8" s="7">
        <f t="shared" si="1"/>
        <v>628.57395314938776</v>
      </c>
    </row>
    <row r="9" spans="1:5" x14ac:dyDescent="0.3">
      <c r="A9" s="4">
        <v>20</v>
      </c>
      <c r="B9" s="1">
        <f>COUNTIF('données + numéro d''équipe'!$A$2:$A$155,"&gt;="&amp;A9)</f>
        <v>39</v>
      </c>
      <c r="C9" s="2">
        <f t="shared" si="2"/>
        <v>780</v>
      </c>
      <c r="D9" s="9">
        <f t="shared" si="0"/>
        <v>32.500413303562752</v>
      </c>
      <c r="E9" s="7">
        <f t="shared" si="1"/>
        <v>650.00826607125509</v>
      </c>
    </row>
    <row r="10" spans="1:5" x14ac:dyDescent="0.3">
      <c r="A10" s="4">
        <v>22.5</v>
      </c>
      <c r="B10" s="1">
        <f>COUNTIF('données + numéro d''équipe'!$A$2:$A$155,"&gt;="&amp;A10)</f>
        <v>25</v>
      </c>
      <c r="C10" s="2">
        <f t="shared" si="2"/>
        <v>562.5</v>
      </c>
      <c r="D10" s="9">
        <f t="shared" si="0"/>
        <v>29.407590058697277</v>
      </c>
      <c r="E10" s="7">
        <f t="shared" si="1"/>
        <v>661.67077632068879</v>
      </c>
    </row>
    <row r="11" spans="1:5" x14ac:dyDescent="0.3">
      <c r="A11" s="4">
        <v>25</v>
      </c>
      <c r="B11" s="1">
        <f>COUNTIF('données + numéro d''équipe'!$A$2:$A$155,"&gt;="&amp;A11)</f>
        <v>22</v>
      </c>
      <c r="C11" s="2">
        <f t="shared" si="2"/>
        <v>550</v>
      </c>
      <c r="D11" s="9">
        <f t="shared" si="0"/>
        <v>26.609087859371595</v>
      </c>
      <c r="E11" s="7">
        <f t="shared" si="1"/>
        <v>665.22719648428983</v>
      </c>
    </row>
    <row r="12" spans="1:5" x14ac:dyDescent="0.3">
      <c r="A12" s="4">
        <v>27.5</v>
      </c>
      <c r="B12" s="1">
        <f>COUNTIF('données + numéro d''équipe'!$A$2:$A$155,"&gt;="&amp;A12)</f>
        <v>18</v>
      </c>
      <c r="C12" s="2">
        <f t="shared" si="2"/>
        <v>495</v>
      </c>
      <c r="D12" s="9">
        <f t="shared" si="0"/>
        <v>24.076898354965792</v>
      </c>
      <c r="E12" s="7">
        <f t="shared" si="1"/>
        <v>662.11470476155932</v>
      </c>
    </row>
    <row r="13" spans="1:5" x14ac:dyDescent="0.3">
      <c r="A13" s="4">
        <v>30</v>
      </c>
      <c r="B13" s="1">
        <f>COUNTIF('données + numéro d''équipe'!$A$2:$A$155,"&gt;="&amp;A13)</f>
        <v>18</v>
      </c>
      <c r="C13" s="2">
        <f t="shared" si="2"/>
        <v>540</v>
      </c>
      <c r="D13" s="9">
        <f t="shared" si="0"/>
        <v>21.785678541821493</v>
      </c>
      <c r="E13" s="7">
        <f t="shared" si="1"/>
        <v>653.57035625464482</v>
      </c>
    </row>
    <row r="14" spans="1:5" x14ac:dyDescent="0.3">
      <c r="A14" s="4">
        <v>32.5</v>
      </c>
      <c r="B14" s="1">
        <f>COUNTIF('données + numéro d''équipe'!$A$2:$A$155,"&gt;="&amp;A14)</f>
        <v>17</v>
      </c>
      <c r="C14" s="2">
        <f t="shared" si="2"/>
        <v>552.5</v>
      </c>
      <c r="D14" s="9">
        <f t="shared" si="0"/>
        <v>19.712497121943166</v>
      </c>
      <c r="E14" s="7">
        <f t="shared" si="1"/>
        <v>640.65615646315291</v>
      </c>
    </row>
    <row r="15" spans="1:5" x14ac:dyDescent="0.3">
      <c r="A15" s="4">
        <v>35</v>
      </c>
      <c r="B15" s="1">
        <f>COUNTIF('données + numéro d''équipe'!$A$2:$A$155,"&gt;="&amp;A15)</f>
        <v>17</v>
      </c>
      <c r="C15" s="2">
        <f t="shared" si="2"/>
        <v>595</v>
      </c>
      <c r="D15" s="9">
        <f t="shared" si="0"/>
        <v>17.836604998860334</v>
      </c>
      <c r="E15" s="7">
        <f t="shared" si="1"/>
        <v>624.28117496011168</v>
      </c>
    </row>
    <row r="16" spans="1:5" x14ac:dyDescent="0.3">
      <c r="A16" s="4">
        <v>37.5</v>
      </c>
      <c r="B16" s="1">
        <f>COUNTIF('données + numéro d''équipe'!$A$2:$A$155,"&gt;="&amp;A16)</f>
        <v>17</v>
      </c>
      <c r="C16" s="2">
        <f t="shared" si="2"/>
        <v>637.5</v>
      </c>
      <c r="D16" s="9">
        <f t="shared" si="0"/>
        <v>16.139227613696079</v>
      </c>
      <c r="E16" s="7">
        <f t="shared" si="1"/>
        <v>605.22103551360294</v>
      </c>
    </row>
    <row r="17" spans="1:5" x14ac:dyDescent="0.3">
      <c r="A17" s="4">
        <v>40</v>
      </c>
      <c r="B17" s="1">
        <f>COUNTIF('données + numéro d''équipe'!$A$2:$A$155,"&gt;="&amp;A17)</f>
        <v>17</v>
      </c>
      <c r="C17" s="2">
        <f t="shared" si="2"/>
        <v>680</v>
      </c>
      <c r="D17" s="9">
        <f t="shared" si="0"/>
        <v>14.603377043071418</v>
      </c>
      <c r="E17" s="7">
        <f t="shared" si="1"/>
        <v>584.13508172285674</v>
      </c>
    </row>
    <row r="18" spans="1:5" x14ac:dyDescent="0.3">
      <c r="A18" s="4">
        <v>42.5</v>
      </c>
      <c r="B18" s="1">
        <f>COUNTIF('données + numéro d''équipe'!$A$2:$A$155,"&gt;="&amp;A18)</f>
        <v>11</v>
      </c>
      <c r="C18" s="2">
        <f t="shared" si="2"/>
        <v>467.5</v>
      </c>
      <c r="D18" s="9">
        <f t="shared" si="0"/>
        <v>13.213681978258352</v>
      </c>
      <c r="E18" s="7">
        <f t="shared" si="1"/>
        <v>561.58148407597992</v>
      </c>
    </row>
    <row r="19" spans="1:5" x14ac:dyDescent="0.3">
      <c r="A19" s="4">
        <v>45</v>
      </c>
      <c r="B19" s="1">
        <f>COUNTIF('données + numéro d''équipe'!$A$2:$A$155,"&gt;="&amp;A19)</f>
        <v>11</v>
      </c>
      <c r="C19" s="2">
        <f t="shared" si="2"/>
        <v>495</v>
      </c>
      <c r="D19" s="9">
        <f t="shared" si="0"/>
        <v>11.956233883955576</v>
      </c>
      <c r="E19" s="7">
        <f t="shared" si="1"/>
        <v>538.03052477800088</v>
      </c>
    </row>
    <row r="20" spans="1:5" x14ac:dyDescent="0.3">
      <c r="A20" s="4">
        <v>47.5</v>
      </c>
      <c r="B20" s="1">
        <f>COUNTIF('données + numéro d''équipe'!$A$2:$A$155,"&gt;="&amp;A20)</f>
        <v>11</v>
      </c>
      <c r="C20" s="2">
        <f t="shared" si="2"/>
        <v>522.5</v>
      </c>
      <c r="D20" s="9">
        <f t="shared" si="0"/>
        <v>10.818447796992416</v>
      </c>
      <c r="E20" s="7">
        <f t="shared" si="1"/>
        <v>513.87627035713979</v>
      </c>
    </row>
    <row r="21" spans="1:5" x14ac:dyDescent="0.3">
      <c r="A21" s="4">
        <v>50</v>
      </c>
      <c r="B21" s="1">
        <f>COUNTIF('données + numéro d''équipe'!$A$2:$A$155,"&gt;="&amp;A21)</f>
        <v>11</v>
      </c>
      <c r="C21" s="2">
        <f t="shared" si="2"/>
        <v>550</v>
      </c>
      <c r="D21" s="9">
        <f t="shared" si="0"/>
        <v>9.7889363717874343</v>
      </c>
      <c r="E21" s="7">
        <f t="shared" si="1"/>
        <v>489.44681858937173</v>
      </c>
    </row>
    <row r="22" spans="1:5" x14ac:dyDescent="0.3">
      <c r="A22" s="4">
        <v>52.5</v>
      </c>
      <c r="B22" s="1">
        <f>COUNTIF('données + numéro d''équipe'!$A$2:$A$155,"&gt;="&amp;A22)</f>
        <v>4</v>
      </c>
      <c r="C22" s="2">
        <f t="shared" si="2"/>
        <v>210</v>
      </c>
      <c r="D22" s="9">
        <f t="shared" si="0"/>
        <v>8.8573959119664352</v>
      </c>
      <c r="E22" s="7">
        <f t="shared" si="1"/>
        <v>465.01328537823787</v>
      </c>
    </row>
    <row r="23" spans="1:5" x14ac:dyDescent="0.3">
      <c r="A23" s="4">
        <v>55</v>
      </c>
      <c r="B23" s="1">
        <f>COUNTIF('données + numéro d''équipe'!$A$2:$A$155,"&gt;="&amp;A23)</f>
        <v>3</v>
      </c>
      <c r="C23" s="2">
        <f t="shared" si="2"/>
        <v>165</v>
      </c>
      <c r="D23" s="9">
        <f t="shared" si="0"/>
        <v>8.0145032475059708</v>
      </c>
      <c r="E23" s="7">
        <f t="shared" si="1"/>
        <v>440.79767861282841</v>
      </c>
    </row>
    <row r="24" spans="1:5" x14ac:dyDescent="0.3">
      <c r="A24" s="4">
        <v>57.5</v>
      </c>
      <c r="B24" s="1">
        <f>COUNTIF('données + numéro d''équipe'!$A$2:$A$155,"&gt;="&amp;A24)</f>
        <v>3</v>
      </c>
      <c r="C24" s="2">
        <f t="shared" si="2"/>
        <v>172.5</v>
      </c>
      <c r="D24" s="9">
        <f t="shared" si="0"/>
        <v>7.2518224253141153</v>
      </c>
      <c r="E24" s="7">
        <f t="shared" si="1"/>
        <v>416.97978945556162</v>
      </c>
    </row>
    <row r="25" spans="1:5" x14ac:dyDescent="0.3">
      <c r="A25" s="4">
        <v>60</v>
      </c>
      <c r="B25" s="1">
        <f>COUNTIF('données + numéro d''équipe'!$A$2:$A$155,"&gt;="&amp;A25)</f>
        <v>3</v>
      </c>
      <c r="C25" s="2">
        <f t="shared" si="2"/>
        <v>180</v>
      </c>
      <c r="D25" s="9">
        <f t="shared" si="0"/>
        <v>6.5617202793764964</v>
      </c>
      <c r="E25" s="7">
        <f t="shared" si="1"/>
        <v>393.70321676258976</v>
      </c>
    </row>
    <row r="26" spans="1:5" x14ac:dyDescent="0.3">
      <c r="A26" s="4">
        <v>62.5</v>
      </c>
      <c r="B26" s="1">
        <f>COUNTIF('données + numéro d''équipe'!$A$2:$A$155,"&gt;="&amp;A26)</f>
        <v>3</v>
      </c>
      <c r="C26" s="2">
        <f t="shared" si="2"/>
        <v>187.5</v>
      </c>
      <c r="D26" s="9">
        <f t="shared" si="0"/>
        <v>5.9372900354652245</v>
      </c>
      <c r="E26" s="7">
        <f t="shared" si="1"/>
        <v>371.08062721657654</v>
      </c>
    </row>
    <row r="27" spans="1:5" x14ac:dyDescent="0.3">
      <c r="A27" s="4">
        <v>65</v>
      </c>
      <c r="B27" s="1">
        <f>COUNTIF('données + numéro d''équipe'!$A$2:$A$155,"&gt;="&amp;A27)</f>
        <v>3</v>
      </c>
      <c r="C27" s="2">
        <f t="shared" si="2"/>
        <v>195</v>
      </c>
      <c r="D27" s="9">
        <f t="shared" si="0"/>
        <v>5.3722821858209837</v>
      </c>
      <c r="E27" s="7">
        <f t="shared" si="1"/>
        <v>349.19834207836396</v>
      </c>
    </row>
    <row r="28" spans="1:5" x14ac:dyDescent="0.3">
      <c r="A28" s="4">
        <v>67.5</v>
      </c>
      <c r="B28" s="1">
        <f>COUNTIF('données + numéro d''équipe'!$A$2:$A$155,"&gt;="&amp;A28)</f>
        <v>3</v>
      </c>
      <c r="C28" s="2">
        <f t="shared" si="2"/>
        <v>202.5</v>
      </c>
      <c r="D28" s="9">
        <f t="shared" si="0"/>
        <v>4.86104194197884</v>
      </c>
      <c r="E28" s="7">
        <f t="shared" si="1"/>
        <v>328.12033108357173</v>
      </c>
    </row>
    <row r="29" spans="1:5" x14ac:dyDescent="0.3">
      <c r="A29" s="4">
        <v>70</v>
      </c>
      <c r="B29" s="1">
        <f>COUNTIF('données + numéro d''équipe'!$A$2:$A$155,"&gt;="&amp;A29)</f>
        <v>3</v>
      </c>
      <c r="C29" s="2">
        <f t="shared" si="2"/>
        <v>210</v>
      </c>
      <c r="D29" s="9">
        <f t="shared" si="0"/>
        <v>4.3984526397446402</v>
      </c>
      <c r="E29" s="7">
        <f t="shared" si="1"/>
        <v>307.8916847821248</v>
      </c>
    </row>
    <row r="30" spans="1:5" x14ac:dyDescent="0.3">
      <c r="A30" s="4">
        <v>72.5</v>
      </c>
      <c r="B30" s="1">
        <f>COUNTIF('données + numéro d''équipe'!$A$2:$A$155,"&gt;="&amp;A30)</f>
        <v>3</v>
      </c>
      <c r="C30" s="2">
        <f t="shared" si="2"/>
        <v>217.5</v>
      </c>
      <c r="D30" s="9">
        <f t="shared" si="0"/>
        <v>3.9798845298999916</v>
      </c>
      <c r="E30" s="7">
        <f t="shared" si="1"/>
        <v>288.54162841774939</v>
      </c>
    </row>
    <row r="31" spans="1:5" x14ac:dyDescent="0.3">
      <c r="A31" s="4">
        <v>75</v>
      </c>
      <c r="B31" s="1">
        <f>COUNTIF('données + numéro d''équipe'!$A$2:$A$155,"&gt;="&amp;A31)</f>
        <v>3</v>
      </c>
      <c r="C31" s="2">
        <f t="shared" si="2"/>
        <v>225</v>
      </c>
      <c r="D31" s="9">
        <f t="shared" si="0"/>
        <v>3.6011484421159672</v>
      </c>
      <c r="E31" s="7">
        <f t="shared" si="1"/>
        <v>270.08613315869752</v>
      </c>
    </row>
    <row r="32" spans="1:5" x14ac:dyDescent="0.3">
      <c r="A32" s="4">
        <v>77.5</v>
      </c>
      <c r="B32" s="1">
        <f>COUNTIF('données + numéro d''équipe'!$A$2:$A$155,"&gt;="&amp;A32)</f>
        <v>3</v>
      </c>
      <c r="C32" s="2">
        <f t="shared" si="2"/>
        <v>232.5</v>
      </c>
      <c r="D32" s="9">
        <f t="shared" si="0"/>
        <v>3.2584538583284295</v>
      </c>
      <c r="E32" s="7">
        <f t="shared" si="1"/>
        <v>252.53017402045327</v>
      </c>
    </row>
    <row r="33" spans="1:5" x14ac:dyDescent="0.3">
      <c r="A33" s="4">
        <v>80</v>
      </c>
      <c r="B33" s="1">
        <f>COUNTIF('données + numéro d''équipe'!$A$2:$A$155,"&gt;="&amp;A33)</f>
        <v>3</v>
      </c>
      <c r="C33" s="2">
        <f t="shared" si="2"/>
        <v>240</v>
      </c>
      <c r="D33" s="9">
        <f t="shared" si="0"/>
        <v>2.9483709759592065</v>
      </c>
      <c r="E33" s="7">
        <f t="shared" si="1"/>
        <v>235.86967807673653</v>
      </c>
    </row>
    <row r="34" spans="1:5" x14ac:dyDescent="0.3">
      <c r="A34" s="4">
        <v>82.5</v>
      </c>
      <c r="B34" s="1">
        <f>COUNTIF('données + numéro d''équipe'!$A$2:$A$155,"&gt;="&amp;A34)</f>
        <v>3</v>
      </c>
      <c r="C34" s="2">
        <f t="shared" si="2"/>
        <v>247.5</v>
      </c>
      <c r="D34" s="9">
        <f t="shared" si="0"/>
        <v>2.6677963812990901</v>
      </c>
      <c r="E34" s="7">
        <f t="shared" si="1"/>
        <v>220.09320145717493</v>
      </c>
    </row>
    <row r="35" spans="1:5" x14ac:dyDescent="0.3">
      <c r="A35" s="4">
        <v>85</v>
      </c>
      <c r="B35" s="1">
        <f>COUNTIF('données + numéro d''équipe'!$A$2:$A$155,"&gt;="&amp;A35)</f>
        <v>3</v>
      </c>
      <c r="C35" s="2">
        <f t="shared" si="2"/>
        <v>255</v>
      </c>
      <c r="D35" s="9">
        <f t="shared" si="0"/>
        <v>2.4139219895003459</v>
      </c>
      <c r="E35" s="7">
        <f t="shared" si="1"/>
        <v>205.18336910752939</v>
      </c>
    </row>
    <row r="36" spans="1:5" x14ac:dyDescent="0.3">
      <c r="A36" s="4">
        <v>87.5</v>
      </c>
      <c r="B36" s="1">
        <f>COUNTIF('données + numéro d''équipe'!$A$2:$A$155,"&gt;="&amp;A36)</f>
        <v>3</v>
      </c>
      <c r="C36" s="2">
        <f t="shared" si="2"/>
        <v>262.5</v>
      </c>
      <c r="D36" s="9">
        <f t="shared" si="0"/>
        <v>2.1842069403197195</v>
      </c>
      <c r="E36" s="7">
        <f t="shared" si="1"/>
        <v>191.11810727797547</v>
      </c>
    </row>
    <row r="37" spans="1:5" x14ac:dyDescent="0.3">
      <c r="A37" s="4">
        <v>90</v>
      </c>
      <c r="B37" s="1">
        <f>COUNTIF('données + numéro d''équipe'!$A$2:$A$155,"&gt;="&amp;A37)</f>
        <v>3</v>
      </c>
      <c r="C37" s="2">
        <f t="shared" si="2"/>
        <v>270</v>
      </c>
      <c r="D37" s="9">
        <f t="shared" si="0"/>
        <v>1.9763521683351182</v>
      </c>
      <c r="E37" s="7">
        <f t="shared" si="1"/>
        <v>177.87169515016063</v>
      </c>
    </row>
    <row r="38" spans="1:5" x14ac:dyDescent="0.3">
      <c r="A38" s="4">
        <v>92.5</v>
      </c>
      <c r="B38" s="1">
        <f>COUNTIF('données + numéro d''équipe'!$A$2:$A$155,"&gt;="&amp;A38)</f>
        <v>3</v>
      </c>
      <c r="C38" s="2">
        <f t="shared" si="2"/>
        <v>277.5</v>
      </c>
      <c r="D38" s="9">
        <f t="shared" si="0"/>
        <v>1.7882773931261184</v>
      </c>
      <c r="E38" s="8">
        <f t="shared" si="1"/>
        <v>165.41565886416595</v>
      </c>
    </row>
    <row r="39" spans="1:5" x14ac:dyDescent="0.3">
      <c r="A39" s="4">
        <v>95</v>
      </c>
      <c r="B39" s="1">
        <f>COUNTIF('données + numéro d''équipe'!$A$2:$A$155,"&gt;="&amp;A39)</f>
        <v>3</v>
      </c>
      <c r="C39" s="2">
        <f t="shared" si="2"/>
        <v>285</v>
      </c>
      <c r="D39" s="9">
        <f t="shared" si="0"/>
        <v>1.6181002991283133</v>
      </c>
      <c r="E39" s="8">
        <f t="shared" si="1"/>
        <v>153.71952841718976</v>
      </c>
    </row>
    <row r="40" spans="1:5" x14ac:dyDescent="0.3">
      <c r="A40" s="4">
        <v>97.5</v>
      </c>
      <c r="B40" s="1">
        <f>COUNTIF('données + numéro d''équipe'!$A$2:$A$155,"&gt;="&amp;A40)</f>
        <v>3</v>
      </c>
      <c r="C40" s="2">
        <f t="shared" si="2"/>
        <v>292.5</v>
      </c>
      <c r="D40" s="9">
        <f t="shared" si="0"/>
        <v>1.4641176967864775</v>
      </c>
      <c r="E40" s="8">
        <f t="shared" si="1"/>
        <v>142.75147543668155</v>
      </c>
    </row>
    <row r="41" spans="1:5" x14ac:dyDescent="0.3">
      <c r="A41" s="4">
        <v>100</v>
      </c>
      <c r="B41" s="1">
        <f>COUNTIF('données + numéro d''équipe'!$A$2:$A$155,"&gt;="&amp;A41)</f>
        <v>3</v>
      </c>
      <c r="C41" s="2">
        <f t="shared" si="2"/>
        <v>300</v>
      </c>
      <c r="D41" s="9">
        <f t="shared" si="0"/>
        <v>1.324788476461032</v>
      </c>
      <c r="E41" s="8">
        <f t="shared" si="1"/>
        <v>132.47884764610319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>
      <selection activeCell="E44" sqref="E44"/>
    </sheetView>
  </sheetViews>
  <sheetFormatPr defaultColWidth="11.5546875" defaultRowHeight="14.4" x14ac:dyDescent="0.3"/>
  <cols>
    <col min="3" max="3" width="11.44140625" style="1"/>
    <col min="4" max="4" width="12.6640625" style="1" customWidth="1"/>
    <col min="5" max="5" width="18.33203125" style="1" customWidth="1"/>
    <col min="6" max="6" width="14.33203125" style="1" bestFit="1" customWidth="1"/>
  </cols>
  <sheetData>
    <row r="1" spans="1:6" x14ac:dyDescent="0.3">
      <c r="A1" s="10" t="s">
        <v>0</v>
      </c>
      <c r="B1" s="11" t="s">
        <v>1</v>
      </c>
      <c r="C1" s="16" t="s">
        <v>5</v>
      </c>
      <c r="D1" s="16" t="s">
        <v>6</v>
      </c>
      <c r="E1" s="20" t="s">
        <v>12</v>
      </c>
      <c r="F1" s="21" t="s">
        <v>4</v>
      </c>
    </row>
    <row r="2" spans="1:6" x14ac:dyDescent="0.3">
      <c r="A2" s="12">
        <v>2.5</v>
      </c>
      <c r="B2" s="13">
        <v>132</v>
      </c>
      <c r="C2" s="1">
        <f>LN(A2)</f>
        <v>0.91629073187415511</v>
      </c>
      <c r="D2" s="1">
        <f>LN(B2)</f>
        <v>4.8828019225863706</v>
      </c>
      <c r="E2" s="9">
        <f>EXP(5.0819+0.2091*C2-0.2547*C2^2)</f>
        <v>157.53586534056598</v>
      </c>
      <c r="F2" s="17">
        <f>A2*E2</f>
        <v>393.83966335141497</v>
      </c>
    </row>
    <row r="3" spans="1:6" x14ac:dyDescent="0.3">
      <c r="A3" s="14">
        <v>5</v>
      </c>
      <c r="B3" s="15">
        <v>125</v>
      </c>
      <c r="C3" s="1">
        <f t="shared" ref="C3:D41" si="0">LN(A3)</f>
        <v>1.6094379124341003</v>
      </c>
      <c r="D3" s="1">
        <f t="shared" si="0"/>
        <v>4.8283137373023015</v>
      </c>
      <c r="E3" s="9">
        <f t="shared" ref="E3:E41" si="1">EXP(5.0819+0.2091*C3-0.2547*C3^2)</f>
        <v>116.59268127414612</v>
      </c>
      <c r="F3" s="17">
        <f t="shared" ref="F3:F41" si="2">A3*E3</f>
        <v>582.96340637073058</v>
      </c>
    </row>
    <row r="4" spans="1:6" x14ac:dyDescent="0.3">
      <c r="A4" s="12">
        <v>7.5</v>
      </c>
      <c r="B4" s="13">
        <v>84</v>
      </c>
      <c r="C4" s="1">
        <f t="shared" si="0"/>
        <v>2.0149030205422647</v>
      </c>
      <c r="D4" s="1">
        <f t="shared" si="0"/>
        <v>4.4308167988433134</v>
      </c>
      <c r="E4" s="9">
        <f t="shared" si="1"/>
        <v>87.284810470845514</v>
      </c>
      <c r="F4" s="17">
        <f t="shared" si="2"/>
        <v>654.63607853134135</v>
      </c>
    </row>
    <row r="5" spans="1:6" x14ac:dyDescent="0.3">
      <c r="A5" s="14">
        <v>10</v>
      </c>
      <c r="B5" s="15">
        <v>80</v>
      </c>
      <c r="C5" s="1">
        <f t="shared" si="0"/>
        <v>2.3025850929940459</v>
      </c>
      <c r="D5" s="1">
        <f t="shared" si="0"/>
        <v>4.3820266346738812</v>
      </c>
      <c r="E5" s="9">
        <f t="shared" si="1"/>
        <v>67.557365364504747</v>
      </c>
      <c r="F5" s="17">
        <f t="shared" si="2"/>
        <v>675.57365364504744</v>
      </c>
    </row>
    <row r="6" spans="1:6" x14ac:dyDescent="0.3">
      <c r="A6" s="12">
        <v>12.5</v>
      </c>
      <c r="B6" s="13">
        <v>50</v>
      </c>
      <c r="C6" s="1">
        <f t="shared" si="0"/>
        <v>2.5257286443082556</v>
      </c>
      <c r="D6" s="1">
        <f t="shared" si="0"/>
        <v>3.912023005428146</v>
      </c>
      <c r="E6" s="9">
        <f t="shared" si="1"/>
        <v>53.797168140412076</v>
      </c>
      <c r="F6" s="17">
        <f t="shared" si="2"/>
        <v>672.46460175515097</v>
      </c>
    </row>
    <row r="7" spans="1:6" x14ac:dyDescent="0.3">
      <c r="A7" s="14">
        <v>15</v>
      </c>
      <c r="B7" s="15">
        <v>48</v>
      </c>
      <c r="C7" s="1">
        <f t="shared" si="0"/>
        <v>2.7080502011022101</v>
      </c>
      <c r="D7" s="1">
        <f t="shared" si="0"/>
        <v>3.8712010109078911</v>
      </c>
      <c r="E7" s="9">
        <f t="shared" si="1"/>
        <v>43.829263268001633</v>
      </c>
      <c r="F7" s="17">
        <f t="shared" si="2"/>
        <v>657.43894902002444</v>
      </c>
    </row>
    <row r="8" spans="1:6" x14ac:dyDescent="0.3">
      <c r="A8" s="12">
        <v>17.5</v>
      </c>
      <c r="B8" s="13">
        <v>39</v>
      </c>
      <c r="C8" s="1">
        <f t="shared" si="0"/>
        <v>2.8622008809294686</v>
      </c>
      <c r="D8" s="1">
        <f t="shared" si="0"/>
        <v>3.6635616461296463</v>
      </c>
      <c r="E8" s="9">
        <f t="shared" si="1"/>
        <v>36.373279385457408</v>
      </c>
      <c r="F8" s="17">
        <f t="shared" si="2"/>
        <v>636.53238924550465</v>
      </c>
    </row>
    <row r="9" spans="1:6" x14ac:dyDescent="0.3">
      <c r="A9" s="14">
        <v>20</v>
      </c>
      <c r="B9" s="15">
        <v>39</v>
      </c>
      <c r="C9" s="1">
        <f t="shared" si="0"/>
        <v>2.9957322735539909</v>
      </c>
      <c r="D9" s="1">
        <f t="shared" si="0"/>
        <v>3.6635616461296463</v>
      </c>
      <c r="E9" s="9">
        <f t="shared" si="1"/>
        <v>30.646697842595852</v>
      </c>
      <c r="F9" s="17">
        <f t="shared" si="2"/>
        <v>612.93395685191706</v>
      </c>
    </row>
    <row r="10" spans="1:6" x14ac:dyDescent="0.3">
      <c r="A10" s="12">
        <v>22.5</v>
      </c>
      <c r="B10" s="13">
        <v>25</v>
      </c>
      <c r="C10" s="1">
        <f t="shared" si="0"/>
        <v>3.1135153092103742</v>
      </c>
      <c r="D10" s="1">
        <f t="shared" si="0"/>
        <v>3.2188758248682006</v>
      </c>
      <c r="E10" s="9">
        <f t="shared" si="1"/>
        <v>26.150804669947679</v>
      </c>
      <c r="F10" s="17">
        <f t="shared" si="2"/>
        <v>588.39310507382277</v>
      </c>
    </row>
    <row r="11" spans="1:6" x14ac:dyDescent="0.3">
      <c r="A11" s="14">
        <v>25</v>
      </c>
      <c r="B11" s="15">
        <v>22</v>
      </c>
      <c r="C11" s="1">
        <f t="shared" si="0"/>
        <v>3.2188758248682006</v>
      </c>
      <c r="D11" s="1">
        <f t="shared" si="0"/>
        <v>3.0910424533583161</v>
      </c>
      <c r="E11" s="9">
        <f t="shared" si="1"/>
        <v>22.555503224185593</v>
      </c>
      <c r="F11" s="17">
        <f t="shared" si="2"/>
        <v>563.88758060463977</v>
      </c>
    </row>
    <row r="12" spans="1:6" x14ac:dyDescent="0.3">
      <c r="A12" s="12">
        <v>27.5</v>
      </c>
      <c r="B12" s="13">
        <v>18</v>
      </c>
      <c r="C12" s="1">
        <f t="shared" si="0"/>
        <v>3.3141860046725258</v>
      </c>
      <c r="D12" s="1">
        <f t="shared" si="0"/>
        <v>2.8903717578961645</v>
      </c>
      <c r="E12" s="9">
        <f t="shared" si="1"/>
        <v>19.635027321129474</v>
      </c>
      <c r="F12" s="17">
        <f t="shared" si="2"/>
        <v>539.96325133106052</v>
      </c>
    </row>
    <row r="13" spans="1:6" x14ac:dyDescent="0.3">
      <c r="A13" s="14">
        <v>30</v>
      </c>
      <c r="B13" s="15">
        <v>18</v>
      </c>
      <c r="C13" s="1">
        <f t="shared" si="0"/>
        <v>3.4011973816621555</v>
      </c>
      <c r="D13" s="1">
        <f t="shared" si="0"/>
        <v>2.8903717578961645</v>
      </c>
      <c r="E13" s="9">
        <f t="shared" si="1"/>
        <v>17.230553775118885</v>
      </c>
      <c r="F13" s="17">
        <f t="shared" si="2"/>
        <v>516.91661325356654</v>
      </c>
    </row>
    <row r="14" spans="1:6" x14ac:dyDescent="0.3">
      <c r="A14" s="12">
        <v>32.5</v>
      </c>
      <c r="B14" s="13">
        <v>17</v>
      </c>
      <c r="C14" s="1">
        <f t="shared" si="0"/>
        <v>3.4812400893356918</v>
      </c>
      <c r="D14" s="1">
        <f t="shared" si="0"/>
        <v>2.8332133440562162</v>
      </c>
      <c r="E14" s="9">
        <f t="shared" si="1"/>
        <v>15.227602116292188</v>
      </c>
      <c r="F14" s="17">
        <f t="shared" si="2"/>
        <v>494.89706877949607</v>
      </c>
    </row>
    <row r="15" spans="1:6" x14ac:dyDescent="0.3">
      <c r="A15" s="14">
        <v>35</v>
      </c>
      <c r="B15" s="15">
        <v>17</v>
      </c>
      <c r="C15" s="1">
        <f t="shared" si="0"/>
        <v>3.5553480614894135</v>
      </c>
      <c r="D15" s="1">
        <f t="shared" si="0"/>
        <v>2.8332133440562162</v>
      </c>
      <c r="E15" s="9">
        <f t="shared" si="1"/>
        <v>13.541891715481793</v>
      </c>
      <c r="F15" s="17">
        <f t="shared" si="2"/>
        <v>473.96621004186272</v>
      </c>
    </row>
    <row r="16" spans="1:6" x14ac:dyDescent="0.3">
      <c r="A16" s="12">
        <v>37.5</v>
      </c>
      <c r="B16" s="13">
        <v>17</v>
      </c>
      <c r="C16" s="1">
        <f t="shared" si="0"/>
        <v>3.6243409329763652</v>
      </c>
      <c r="D16" s="1">
        <f t="shared" si="0"/>
        <v>2.8332133440562162</v>
      </c>
      <c r="E16" s="9">
        <f t="shared" si="1"/>
        <v>12.110216166345463</v>
      </c>
      <c r="F16" s="17">
        <f t="shared" si="2"/>
        <v>454.13310623795485</v>
      </c>
    </row>
    <row r="17" spans="1:6" x14ac:dyDescent="0.3">
      <c r="A17" s="14">
        <v>40</v>
      </c>
      <c r="B17" s="15">
        <v>17</v>
      </c>
      <c r="C17" s="1">
        <f t="shared" si="0"/>
        <v>3.6888794541139363</v>
      </c>
      <c r="D17" s="1">
        <f t="shared" si="0"/>
        <v>2.8332133440562162</v>
      </c>
      <c r="E17" s="9">
        <f t="shared" si="1"/>
        <v>10.884393545795563</v>
      </c>
      <c r="F17" s="17">
        <f t="shared" si="2"/>
        <v>435.37574183182249</v>
      </c>
    </row>
    <row r="18" spans="1:6" x14ac:dyDescent="0.3">
      <c r="A18" s="12">
        <v>42.5</v>
      </c>
      <c r="B18" s="13">
        <v>11</v>
      </c>
      <c r="C18" s="1">
        <f t="shared" si="0"/>
        <v>3.7495040759303713</v>
      </c>
      <c r="D18" s="1">
        <f t="shared" si="0"/>
        <v>2.3978952727983707</v>
      </c>
      <c r="E18" s="9">
        <f t="shared" si="1"/>
        <v>9.8271585030216659</v>
      </c>
      <c r="F18" s="17">
        <f t="shared" si="2"/>
        <v>417.65423637842082</v>
      </c>
    </row>
    <row r="19" spans="1:6" x14ac:dyDescent="0.3">
      <c r="A19" s="14">
        <v>45</v>
      </c>
      <c r="B19" s="15">
        <v>11</v>
      </c>
      <c r="C19" s="1">
        <f t="shared" si="0"/>
        <v>3.8066624897703196</v>
      </c>
      <c r="D19" s="1">
        <f t="shared" si="0"/>
        <v>2.3978952727983707</v>
      </c>
      <c r="E19" s="9">
        <f t="shared" si="1"/>
        <v>8.9093127501841991</v>
      </c>
      <c r="F19" s="17">
        <f t="shared" si="2"/>
        <v>400.91907375828896</v>
      </c>
    </row>
    <row r="20" spans="1:6" x14ac:dyDescent="0.3">
      <c r="A20" s="12">
        <v>47.5</v>
      </c>
      <c r="B20" s="13">
        <v>11</v>
      </c>
      <c r="C20" s="1">
        <f t="shared" si="0"/>
        <v>3.8607297110405954</v>
      </c>
      <c r="D20" s="1">
        <f t="shared" si="0"/>
        <v>2.3978952727983707</v>
      </c>
      <c r="E20" s="9">
        <f t="shared" si="1"/>
        <v>8.107710381111934</v>
      </c>
      <c r="F20" s="17">
        <f t="shared" si="2"/>
        <v>385.11624310281684</v>
      </c>
    </row>
    <row r="21" spans="1:6" x14ac:dyDescent="0.3">
      <c r="A21" s="14">
        <v>50</v>
      </c>
      <c r="B21" s="15">
        <v>11</v>
      </c>
      <c r="C21" s="1">
        <f t="shared" si="0"/>
        <v>3.912023005428146</v>
      </c>
      <c r="D21" s="1">
        <f t="shared" si="0"/>
        <v>2.3978952727983707</v>
      </c>
      <c r="E21" s="9">
        <f t="shared" si="1"/>
        <v>7.4038087882274981</v>
      </c>
      <c r="F21" s="17">
        <f t="shared" si="2"/>
        <v>370.19043941137488</v>
      </c>
    </row>
    <row r="22" spans="1:6" x14ac:dyDescent="0.3">
      <c r="A22" s="12">
        <v>52.5</v>
      </c>
      <c r="B22" s="13">
        <v>4</v>
      </c>
      <c r="C22" s="1">
        <f t="shared" si="0"/>
        <v>3.9608131695975781</v>
      </c>
      <c r="D22" s="1">
        <f t="shared" si="0"/>
        <v>1.3862943611198906</v>
      </c>
      <c r="E22" s="9">
        <f t="shared" si="1"/>
        <v>6.782610111827867</v>
      </c>
      <c r="F22" s="17">
        <f t="shared" si="2"/>
        <v>356.08703087096302</v>
      </c>
    </row>
    <row r="23" spans="1:6" x14ac:dyDescent="0.3">
      <c r="A23" s="14">
        <v>55</v>
      </c>
      <c r="B23" s="15">
        <v>3</v>
      </c>
      <c r="C23" s="1">
        <f t="shared" si="0"/>
        <v>4.0073331852324712</v>
      </c>
      <c r="D23" s="1">
        <f t="shared" si="0"/>
        <v>1.0986122886681098</v>
      </c>
      <c r="E23" s="9">
        <f t="shared" si="1"/>
        <v>6.2318770163530646</v>
      </c>
      <c r="F23" s="17">
        <f t="shared" si="2"/>
        <v>342.75323589941854</v>
      </c>
    </row>
    <row r="24" spans="1:6" x14ac:dyDescent="0.3">
      <c r="A24" s="12">
        <v>57.5</v>
      </c>
      <c r="B24" s="13">
        <v>3</v>
      </c>
      <c r="C24" s="1">
        <f t="shared" si="0"/>
        <v>4.0517849478033048</v>
      </c>
      <c r="D24" s="1">
        <f t="shared" si="0"/>
        <v>1.0986122886681098</v>
      </c>
      <c r="E24" s="9">
        <f t="shared" si="1"/>
        <v>5.7415442016990008</v>
      </c>
      <c r="F24" s="17">
        <f t="shared" si="2"/>
        <v>330.13879159769255</v>
      </c>
    </row>
    <row r="25" spans="1:6" x14ac:dyDescent="0.3">
      <c r="A25" s="14">
        <v>60</v>
      </c>
      <c r="B25" s="15">
        <v>3</v>
      </c>
      <c r="C25" s="1">
        <f t="shared" si="0"/>
        <v>4.0943445622221004</v>
      </c>
      <c r="D25" s="1">
        <f t="shared" si="0"/>
        <v>1.0986122886681098</v>
      </c>
      <c r="E25" s="9">
        <f t="shared" si="1"/>
        <v>5.3032715815570439</v>
      </c>
      <c r="F25" s="17">
        <f t="shared" si="2"/>
        <v>318.19629489342265</v>
      </c>
    </row>
    <row r="26" spans="1:6" x14ac:dyDescent="0.3">
      <c r="A26" s="12">
        <v>62.5</v>
      </c>
      <c r="B26" s="13">
        <v>3</v>
      </c>
      <c r="C26" s="1">
        <f t="shared" si="0"/>
        <v>4.1351665567423561</v>
      </c>
      <c r="D26" s="1">
        <f t="shared" si="0"/>
        <v>1.0986122886681098</v>
      </c>
      <c r="E26" s="9">
        <f t="shared" si="1"/>
        <v>4.9101013468038186</v>
      </c>
      <c r="F26" s="17">
        <f t="shared" si="2"/>
        <v>306.88133417523863</v>
      </c>
    </row>
    <row r="27" spans="1:6" x14ac:dyDescent="0.3">
      <c r="A27" s="14">
        <v>65</v>
      </c>
      <c r="B27" s="15">
        <v>3</v>
      </c>
      <c r="C27" s="1">
        <f t="shared" si="0"/>
        <v>4.1743872698956368</v>
      </c>
      <c r="D27" s="1">
        <f t="shared" si="0"/>
        <v>1.0986122886681098</v>
      </c>
      <c r="E27" s="9">
        <f t="shared" si="1"/>
        <v>4.5561921310810707</v>
      </c>
      <c r="F27" s="17">
        <f t="shared" si="2"/>
        <v>296.15248852026957</v>
      </c>
    </row>
    <row r="28" spans="1:6" x14ac:dyDescent="0.3">
      <c r="A28" s="12">
        <v>67.5</v>
      </c>
      <c r="B28" s="13">
        <v>3</v>
      </c>
      <c r="C28" s="1">
        <f t="shared" si="0"/>
        <v>4.2121275978784842</v>
      </c>
      <c r="D28" s="1">
        <f t="shared" si="0"/>
        <v>1.0986122886681098</v>
      </c>
      <c r="E28" s="9">
        <f t="shared" si="1"/>
        <v>4.2366110402210593</v>
      </c>
      <c r="F28" s="17">
        <f t="shared" si="2"/>
        <v>285.97124521492151</v>
      </c>
    </row>
    <row r="29" spans="1:6" x14ac:dyDescent="0.3">
      <c r="A29" s="14">
        <v>70</v>
      </c>
      <c r="B29" s="15">
        <v>3</v>
      </c>
      <c r="C29" s="1">
        <f t="shared" si="0"/>
        <v>4.2484952420493594</v>
      </c>
      <c r="D29" s="1">
        <f t="shared" si="0"/>
        <v>1.0986122886681098</v>
      </c>
      <c r="E29" s="9">
        <f t="shared" si="1"/>
        <v>3.9471695566604157</v>
      </c>
      <c r="F29" s="17">
        <f t="shared" si="2"/>
        <v>276.30186896622911</v>
      </c>
    </row>
    <row r="30" spans="1:6" x14ac:dyDescent="0.3">
      <c r="A30" s="12">
        <v>72.5</v>
      </c>
      <c r="B30" s="13">
        <v>3</v>
      </c>
      <c r="C30" s="1">
        <f t="shared" si="0"/>
        <v>4.2835865618606288</v>
      </c>
      <c r="D30" s="1">
        <f t="shared" si="0"/>
        <v>1.0986122886681098</v>
      </c>
      <c r="E30" s="9">
        <f t="shared" si="1"/>
        <v>3.6842930312622943</v>
      </c>
      <c r="F30" s="17">
        <f t="shared" si="2"/>
        <v>267.11124476651634</v>
      </c>
    </row>
    <row r="31" spans="1:6" x14ac:dyDescent="0.3">
      <c r="A31" s="14">
        <v>75</v>
      </c>
      <c r="B31" s="15">
        <v>3</v>
      </c>
      <c r="C31" s="1">
        <f t="shared" si="0"/>
        <v>4.3174881135363101</v>
      </c>
      <c r="D31" s="1">
        <f t="shared" si="0"/>
        <v>1.0986122886681098</v>
      </c>
      <c r="E31" s="9">
        <f t="shared" si="1"/>
        <v>3.4449161169025069</v>
      </c>
      <c r="F31" s="17">
        <f t="shared" si="2"/>
        <v>258.36870876768802</v>
      </c>
    </row>
    <row r="32" spans="1:6" x14ac:dyDescent="0.3">
      <c r="A32" s="12">
        <v>77.5</v>
      </c>
      <c r="B32" s="13">
        <v>3</v>
      </c>
      <c r="C32" s="1">
        <f t="shared" si="0"/>
        <v>4.3502779363593014</v>
      </c>
      <c r="D32" s="1">
        <f t="shared" si="0"/>
        <v>1.0986122886681098</v>
      </c>
      <c r="E32" s="9">
        <f t="shared" si="1"/>
        <v>3.2263984056466777</v>
      </c>
      <c r="F32" s="17">
        <f t="shared" si="2"/>
        <v>250.04587643761752</v>
      </c>
    </row>
    <row r="33" spans="1:6" x14ac:dyDescent="0.3">
      <c r="A33" s="14">
        <v>80</v>
      </c>
      <c r="B33" s="15">
        <v>3</v>
      </c>
      <c r="C33" s="1">
        <f t="shared" si="0"/>
        <v>4.3820266346738812</v>
      </c>
      <c r="D33" s="1">
        <f t="shared" si="0"/>
        <v>1.0986122886681098</v>
      </c>
      <c r="E33" s="9">
        <f t="shared" si="1"/>
        <v>3.0264559233011283</v>
      </c>
      <c r="F33" s="17">
        <f t="shared" si="2"/>
        <v>242.11647386409027</v>
      </c>
    </row>
    <row r="34" spans="1:6" x14ac:dyDescent="0.3">
      <c r="A34" s="12">
        <v>82.5</v>
      </c>
      <c r="B34" s="13">
        <v>3</v>
      </c>
      <c r="C34" s="1">
        <f t="shared" si="0"/>
        <v>4.4127982933406349</v>
      </c>
      <c r="D34" s="1">
        <f t="shared" si="0"/>
        <v>1.0986122886681098</v>
      </c>
      <c r="E34" s="9">
        <f t="shared" si="1"/>
        <v>2.8431051610632565</v>
      </c>
      <c r="F34" s="17">
        <f t="shared" si="2"/>
        <v>234.55617578771867</v>
      </c>
    </row>
    <row r="35" spans="1:6" x14ac:dyDescent="0.3">
      <c r="A35" s="14">
        <v>85</v>
      </c>
      <c r="B35" s="15">
        <v>3</v>
      </c>
      <c r="C35" s="1">
        <f t="shared" si="0"/>
        <v>4.4426512564903167</v>
      </c>
      <c r="D35" s="1">
        <f t="shared" si="0"/>
        <v>1.0986122886681098</v>
      </c>
      <c r="E35" s="9">
        <f t="shared" si="1"/>
        <v>2.6746170872686155</v>
      </c>
      <c r="F35" s="17">
        <f t="shared" si="2"/>
        <v>227.34245241783231</v>
      </c>
    </row>
    <row r="36" spans="1:6" x14ac:dyDescent="0.3">
      <c r="A36" s="12">
        <v>87.5</v>
      </c>
      <c r="B36" s="13">
        <v>3</v>
      </c>
      <c r="C36" s="1">
        <f t="shared" si="0"/>
        <v>4.4716387933635691</v>
      </c>
      <c r="D36" s="1">
        <f t="shared" si="0"/>
        <v>1.0986122886681098</v>
      </c>
      <c r="E36" s="9">
        <f t="shared" si="1"/>
        <v>2.5194791550867102</v>
      </c>
      <c r="F36" s="17">
        <f t="shared" si="2"/>
        <v>220.45442607008715</v>
      </c>
    </row>
    <row r="37" spans="1:6" x14ac:dyDescent="0.3">
      <c r="A37" s="14">
        <v>90</v>
      </c>
      <c r="B37" s="15">
        <v>3</v>
      </c>
      <c r="C37" s="1">
        <f t="shared" si="0"/>
        <v>4.499809670330265</v>
      </c>
      <c r="D37" s="1">
        <f t="shared" si="0"/>
        <v>1.0986122886681098</v>
      </c>
      <c r="E37" s="9">
        <f t="shared" si="1"/>
        <v>2.3763637555232626</v>
      </c>
      <c r="F37" s="17">
        <f t="shared" si="2"/>
        <v>213.87273799709362</v>
      </c>
    </row>
    <row r="38" spans="1:6" x14ac:dyDescent="0.3">
      <c r="A38" s="12">
        <v>92.5</v>
      </c>
      <c r="B38" s="13">
        <v>3</v>
      </c>
      <c r="C38" s="1">
        <f t="shared" si="0"/>
        <v>4.5272086445183799</v>
      </c>
      <c r="D38" s="1">
        <f t="shared" si="0"/>
        <v>1.0986122886681098</v>
      </c>
      <c r="E38" s="9">
        <f t="shared" si="1"/>
        <v>2.2441018957024914</v>
      </c>
      <c r="F38" s="17">
        <f t="shared" si="2"/>
        <v>207.57942535248046</v>
      </c>
    </row>
    <row r="39" spans="1:6" x14ac:dyDescent="0.3">
      <c r="A39" s="14">
        <v>95</v>
      </c>
      <c r="B39" s="15">
        <v>3</v>
      </c>
      <c r="C39" s="1">
        <f t="shared" si="0"/>
        <v>4.5538768916005408</v>
      </c>
      <c r="D39" s="1">
        <f t="shared" si="0"/>
        <v>1.0986122886681098</v>
      </c>
      <c r="E39" s="9">
        <f t="shared" si="1"/>
        <v>2.1216611364074538</v>
      </c>
      <c r="F39" s="17">
        <f t="shared" si="2"/>
        <v>201.55780795870811</v>
      </c>
    </row>
    <row r="40" spans="1:6" x14ac:dyDescent="0.3">
      <c r="A40" s="12">
        <v>97.5</v>
      </c>
      <c r="B40" s="13">
        <v>3</v>
      </c>
      <c r="C40" s="1">
        <f t="shared" si="0"/>
        <v>4.5798523780038014</v>
      </c>
      <c r="D40" s="1">
        <f t="shared" si="0"/>
        <v>1.0986122886681098</v>
      </c>
      <c r="E40" s="9">
        <f t="shared" si="1"/>
        <v>2.0081270193626763</v>
      </c>
      <c r="F40" s="17">
        <f t="shared" si="2"/>
        <v>195.79238438786095</v>
      </c>
    </row>
    <row r="41" spans="1:6" x14ac:dyDescent="0.3">
      <c r="A41" s="14">
        <v>100</v>
      </c>
      <c r="B41" s="15">
        <v>3</v>
      </c>
      <c r="C41" s="1">
        <f t="shared" si="0"/>
        <v>4.6051701859880918</v>
      </c>
      <c r="D41" s="1">
        <f t="shared" si="0"/>
        <v>1.0986122886681098</v>
      </c>
      <c r="E41" s="9">
        <f t="shared" si="1"/>
        <v>1.9026873677702321</v>
      </c>
      <c r="F41" s="17">
        <f t="shared" si="2"/>
        <v>190.26873677702321</v>
      </c>
    </row>
    <row r="44" spans="1:6" ht="21" x14ac:dyDescent="0.4">
      <c r="A44" s="22" t="s">
        <v>7</v>
      </c>
      <c r="B44" s="22"/>
      <c r="C44" s="23"/>
      <c r="D44" s="23"/>
      <c r="E44" s="23"/>
      <c r="F44" s="23"/>
    </row>
    <row r="45" spans="1:6" ht="21" x14ac:dyDescent="0.4">
      <c r="A45" s="22" t="s">
        <v>8</v>
      </c>
      <c r="B45" s="22"/>
      <c r="C45" s="23"/>
      <c r="D45" s="23"/>
      <c r="E45" s="23"/>
      <c r="F45" s="23"/>
    </row>
    <row r="46" spans="1:6" ht="21" x14ac:dyDescent="0.4">
      <c r="A46" s="22" t="s">
        <v>9</v>
      </c>
      <c r="B46" s="22"/>
      <c r="C46" s="23"/>
      <c r="D46" s="23"/>
      <c r="E46" s="23"/>
      <c r="F46" s="23"/>
    </row>
    <row r="47" spans="1:6" ht="21" x14ac:dyDescent="0.4">
      <c r="A47" s="22" t="s">
        <v>11</v>
      </c>
      <c r="B47" s="22"/>
      <c r="C47" s="23"/>
      <c r="D47" s="23"/>
      <c r="E47" s="23"/>
      <c r="F47" s="23"/>
    </row>
    <row r="48" spans="1:6" ht="21" x14ac:dyDescent="0.4">
      <c r="A48" s="22" t="s">
        <v>10</v>
      </c>
      <c r="B48" s="22"/>
      <c r="C48" s="23"/>
      <c r="D48" s="23"/>
      <c r="E48" s="23"/>
      <c r="F48" s="23"/>
    </row>
    <row r="49" spans="1:6" ht="21" x14ac:dyDescent="0.4">
      <c r="A49" s="22"/>
      <c r="B49" s="22"/>
      <c r="C49" s="23"/>
      <c r="D49" s="23"/>
      <c r="E49" s="23"/>
      <c r="F49" s="23"/>
    </row>
    <row r="50" spans="1:6" x14ac:dyDescent="0.3">
      <c r="A50" s="18"/>
      <c r="B50" s="18"/>
      <c r="C50" s="19"/>
      <c r="D50" s="19"/>
      <c r="E50" s="19"/>
      <c r="F50" s="19"/>
    </row>
    <row r="51" spans="1:6" x14ac:dyDescent="0.3">
      <c r="A51" s="18"/>
      <c r="B51" s="18"/>
      <c r="C51" s="19"/>
      <c r="D51" s="19"/>
      <c r="E51" s="19"/>
      <c r="F51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données + numéro d'équipe</vt:lpstr>
      <vt:lpstr>a) à d)</vt:lpstr>
      <vt:lpstr>Fonction NB.SI</vt:lpstr>
      <vt:lpstr>e) et f)</vt:lpstr>
      <vt:lpstr>g)</vt:lpstr>
      <vt:lpstr>h)</vt:lpstr>
      <vt:lpstr>Feuil2</vt:lpstr>
      <vt:lpstr>Question 1</vt:lpstr>
      <vt:lpstr>Question 2</vt:lpstr>
      <vt:lpstr>Fonction de revenu avec 4 pts</vt:lpstr>
      <vt:lpstr>Question 3</vt:lpstr>
      <vt:lpstr>Question 4</vt:lpstr>
      <vt:lpstr>Question 5</vt:lpstr>
      <vt:lpstr>Supplément</vt:lpstr>
    </vt:vector>
  </TitlesOfParts>
  <Company>HEC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PERRON</dc:creator>
  <cp:lastModifiedBy>Alexandre Bouchard</cp:lastModifiedBy>
  <dcterms:created xsi:type="dcterms:W3CDTF">2015-01-09T15:40:38Z</dcterms:created>
  <dcterms:modified xsi:type="dcterms:W3CDTF">2020-01-30T01:24:10Z</dcterms:modified>
</cp:coreProperties>
</file>