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oueim\Git\Challenge1\Resources\"/>
    </mc:Choice>
  </mc:AlternateContent>
  <xr:revisionPtr revIDLastSave="0" documentId="13_ncr:1_{14AEFFE0-F226-444B-A732-5F333B9886D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2" l="1"/>
  <c r="I3" i="12"/>
  <c r="I4" i="12"/>
  <c r="I5" i="12"/>
  <c r="I6" i="12"/>
  <c r="I7" i="12"/>
  <c r="I8" i="12"/>
  <c r="I9" i="12"/>
  <c r="I10" i="12"/>
  <c r="I11" i="12"/>
  <c r="I12" i="12"/>
  <c r="I13" i="12"/>
  <c r="H2" i="12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2" i="12"/>
  <c r="C3" i="12"/>
  <c r="C13" i="12"/>
  <c r="C12" i="12"/>
  <c r="C11" i="12"/>
  <c r="C10" i="12"/>
  <c r="C9" i="12"/>
  <c r="C8" i="12"/>
  <c r="C7" i="12"/>
  <c r="C6" i="12"/>
  <c r="C5" i="12"/>
  <c r="C4" i="12"/>
  <c r="B14" i="9"/>
  <c r="C13" i="9"/>
  <c r="C12" i="9"/>
  <c r="C14" i="9" s="1"/>
  <c r="C11" i="9"/>
  <c r="B13" i="9"/>
  <c r="B12" i="9"/>
  <c r="B11" i="9"/>
  <c r="C6" i="9"/>
  <c r="C5" i="9"/>
  <c r="C7" i="9" s="1"/>
  <c r="B6" i="9"/>
  <c r="B5" i="9"/>
  <c r="C4" i="9"/>
  <c r="B4" i="9"/>
  <c r="B7" i="9" l="1"/>
  <c r="C10" i="9"/>
  <c r="C9" i="9"/>
  <c r="B10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<sst xmlns="http://schemas.openxmlformats.org/spreadsheetml/2006/main" count="33049" uniqueCount="8419">
  <si>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</si>
  <si>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</si>
  <si>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</si>
  <si>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</si>
  <si>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</si>
  <si>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</si>
  <si>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</si>
  <si>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</si>
  <si>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</si>
  <si>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</si>
  <si>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</si>
  <si>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</si>
  <si>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</si>
  <si>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</si>
  <si>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</si>
  <si>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</si>
  <si>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</si>
  <si>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</si>
  <si>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</si>
  <si>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</si>
  <si>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</si>
  <si>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</si>
  <si>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</si>
  <si>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</si>
  <si>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</si>
  <si>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</si>
  <si>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</si>
  <si>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</si>
  <si>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</si>
  <si>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</si>
  <si>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</si>
  <si>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</si>
  <si>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</si>
  <si>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</si>
  <si>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</si>
  <si>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</si>
  <si>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</si>
  <si>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</si>
  <si>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</si>
  <si>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</si>
  <si>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</si>
  <si>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</si>
  <si>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</si>
  <si>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</si>
  <si>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</si>
  <si>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</si>
  <si>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</si>
  <si>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</si>
  <si>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</si>
  <si>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</si>
  <si>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</si>
  <si>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</si>
  <si>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</si>
  <si>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</si>
  <si>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</si>
  <si>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</si>
  <si>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</si>
  <si>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</si>
  <si>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</si>
  <si>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</si>
  <si>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</si>
  <si>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</si>
  <si>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</si>
  <si>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</si>
  <si>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</si>
  <si>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</si>
  <si>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</si>
  <si>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</si>
  <si>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</si>
  <si>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</si>
  <si>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</si>
  <si>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</si>
  <si>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</si>
  <si>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</si>
  <si>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</si>
  <si>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</si>
  <si>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</si>
  <si>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</si>
  <si>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</si>
  <si>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</si>
  <si>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</si>
  <si>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</si>
  <si>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</si>
  <si>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</si>
  <si>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</si>
  <si>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</si>
  <si>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</si>
  <si>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</si>
  <si>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</si>
  <si>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</si>
  <si>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</si>
  <si>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</si>
  <si>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</si>
  <si>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</si>
  <si>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</si>
  <si>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</si>
  <si>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</si>
  <si>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</si>
  <si>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</si>
  <si>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</si>
  <si>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</si>
  <si>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</si>
  <si>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</si>
  <si>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</si>
  <si>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</si>
  <si>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</si>
  <si>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</si>
  <si>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</si>
  <si>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</si>
  <si>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</si>
  <si>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</si>
  <si>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</si>
  <si>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</si>
  <si>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</si>
  <si>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</si>
  <si>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</si>
  <si>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</si>
  <si>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</si>
  <si>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</si>
  <si>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</si>
  <si>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</si>
  <si>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</si>
  <si>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</si>
  <si>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</si>
  <si>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</si>
  <si>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</si>
  <si>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</si>
  <si>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</si>
  <si>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</si>
  <si>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</si>
  <si>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</si>
  <si>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</si>
  <si>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</si>
  <si>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</si>
  <si>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</si>
  <si>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</si>
  <si>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</si>
  <si>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</si>
  <si>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</si>
  <si>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</si>
  <si>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</si>
  <si>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</si>
  <si>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</si>
  <si>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</si>
  <si>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</si>
  <si>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</si>
  <si>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</si>
  <si>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</si>
  <si>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</si>
  <si>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</si>
  <si>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</si>
  <si>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</si>
  <si>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</si>
  <si>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</si>
  <si>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</si>
  <si>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</si>
  <si>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</si>
  <si>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</si>
  <si>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</si>
  <si>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</si>
  <si>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</si>
  <si>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</si>
  <si>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</si>
  <si>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</si>
  <si>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</si>
  <si>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</si>
  <si>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</si>
  <si>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</si>
  <si>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</si>
  <si>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</si>
  <si>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</si>
  <si>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</si>
  <si>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</si>
  <si>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</si>
  <si>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</si>
  <si>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</si>
  <si>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</si>
  <si>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</si>
  <si>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</si>
  <si>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</si>
  <si>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</si>
  <si>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</si>
  <si>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</si>
  <si>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</si>
  <si>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</si>
  <si>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</si>
  <si>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</si>
  <si>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</si>
  <si>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</si>
  <si>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</si>
  <si>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</si>
  <si>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</si>
  <si>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</si>
  <si>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</si>
  <si>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</si>
  <si>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</si>
  <si>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</si>
  <si>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</si>
  <si>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</si>
  <si>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</si>
  <si>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</si>
  <si>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</si>
  <si>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</si>
  <si>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</si>
  <si>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</si>
  <si>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</si>
  <si>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</si>
  <si>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</si>
  <si>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</si>
  <si>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</si>
  <si>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</si>
  <si>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</si>
  <si>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</si>
  <si>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</si>
  <si>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</si>
  <si>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</si>
  <si>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</si>
  <si>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</si>
  <si>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</si>
  <si>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</si>
  <si>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</si>
  <si>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</si>
  <si>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</si>
  <si>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</si>
  <si>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</si>
  <si>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</si>
  <si>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</si>
  <si>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</si>
  <si>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</si>
  <si>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</si>
  <si>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</si>
  <si>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</si>
  <si>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</si>
  <si>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</si>
  <si>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</si>
  <si>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</si>
  <si>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</si>
  <si>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</si>
  <si>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</si>
  <si>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</si>
  <si>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</si>
  <si>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</si>
  <si>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</si>
  <si>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</si>
  <si>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</si>
  <si>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</si>
  <si>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</si>
  <si>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</si>
  <si>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</si>
  <si>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</si>
  <si>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</si>
  <si>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</si>
  <si>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</si>
  <si>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</si>
  <si>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</si>
  <si>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</si>
  <si>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</si>
  <si>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</si>
  <si>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</si>
  <si>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</si>
  <si>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</si>
  <si>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</si>
  <si>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</si>
  <si>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</si>
  <si>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</si>
  <si>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</si>
  <si>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</si>
  <si>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</si>
  <si>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</si>
  <si>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</si>
  <si>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</si>
  <si>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</si>
  <si>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</si>
  <si>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</si>
  <si>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</si>
  <si>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</si>
  <si>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</si>
  <si>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</si>
  <si>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</si>
  <si>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</si>
  <si>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</si>
  <si>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</si>
  <si>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</si>
  <si>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</si>
  <si>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</si>
  <si>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</si>
  <si>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</si>
  <si>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</si>
  <si>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</si>
  <si>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</si>
  <si>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</si>
  <si>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</si>
  <si>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</si>
  <si>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</si>
  <si>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</si>
  <si>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</si>
  <si>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</si>
  <si>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</si>
  <si>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</si>
  <si>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</si>
  <si>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</si>
  <si>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</si>
  <si>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</si>
  <si>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</si>
  <si>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</si>
  <si>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</si>
  <si>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</si>
  <si>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</si>
  <si>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</si>
  <si>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</si>
  <si>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</si>
  <si>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</si>
  <si>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</si>
  <si>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</si>
  <si>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</si>
  <si>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</si>
  <si>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</si>
  <si>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</si>
  <si>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</si>
  <si>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</si>
  <si>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</si>
  <si>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</si>
  <si>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</si>
  <si>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</si>
  <si>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</si>
  <si>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</si>
  <si>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</si>
  <si>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</si>
  <si>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</si>
  <si>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</si>
  <si>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</si>
  <si>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</si>
  <si>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</si>
  <si>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</si>
  <si>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</si>
  <si>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</si>
  <si>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</si>
  <si>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</si>
  <si>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</si>
  <si>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</si>
  <si>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</si>
  <si>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</si>
  <si>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</si>
  <si>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</si>
  <si>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</si>
  <si>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</si>
  <si>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</si>
  <si>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</si>
  <si>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</si>
  <si>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</si>
  <si>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</si>
  <si>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</si>
  <si>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</si>
  <si>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</si>
  <si>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</si>
  <si>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</si>
  <si>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</si>
  <si>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</si>
  <si>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</si>
  <si>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</si>
  <si>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</si>
  <si>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</si>
  <si>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</si>
  <si>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</si>
  <si>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</si>
  <si>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</si>
  <si>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</si>
  <si>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</si>
  <si>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</si>
  <si>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</si>
  <si>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</si>
  <si>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</si>
  <si>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</si>
  <si>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</si>
  <si>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</si>
  <si>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</si>
  <si>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</si>
  <si>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</si>
  <si>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</si>
  <si>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</si>
  <si>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</si>
  <si>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</si>
  <si>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</si>
  <si>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</si>
  <si>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</si>
  <si>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</si>
  <si>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</si>
  <si>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</si>
  <si>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</si>
  <si>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</si>
  <si>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</si>
  <si>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</si>
  <si>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</si>
  <si>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</si>
  <si>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</si>
  <si>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</si>
  <si>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</si>
  <si>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</si>
  <si>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</si>
  <si>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</si>
  <si>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</si>
  <si>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</si>
  <si>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</si>
  <si>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</si>
  <si>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</si>
  <si>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</si>
  <si>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</si>
  <si>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</si>
  <si>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</si>
  <si>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</si>
  <si>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</si>
  <si>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</si>
  <si>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</si>
  <si>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</si>
  <si>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</si>
  <si>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</si>
  <si>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</si>
  <si>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</si>
  <si>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</si>
  <si>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</si>
  <si>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</si>
  <si>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</si>
  <si>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</si>
  <si>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</si>
  <si>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</si>
  <si>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</si>
  <si>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</si>
  <si>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</si>
  <si>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</si>
  <si>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</si>
  <si>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</si>
  <si>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</si>
  <si>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</si>
  <si>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</si>
  <si>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</si>
  <si>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</si>
  <si>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</si>
  <si>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</si>
  <si>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</si>
  <si>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</si>
  <si>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</si>
  <si>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</si>
  <si>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</si>
  <si>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</si>
  <si>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</si>
  <si>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</si>
  <si>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</si>
  <si>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</si>
  <si>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</si>
  <si>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</si>
  <si>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</si>
  <si>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</si>
  <si>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</si>
  <si>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</si>
  <si>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</si>
  <si>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</si>
  <si>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</si>
  <si>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</si>
  <si>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</si>
  <si>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</si>
  <si>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</si>
  <si>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</si>
  <si>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</si>
  <si>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</si>
  <si>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</si>
  <si>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</si>
  <si>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</si>
  <si>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</si>
  <si>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</si>
  <si>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</si>
  <si>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</si>
  <si>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</si>
  <si>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</si>
  <si>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</si>
  <si>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</si>
  <si>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</si>
  <si>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</si>
  <si>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</si>
  <si>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</si>
  <si>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</si>
  <si>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</si>
  <si>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</si>
  <si>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</si>
  <si>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</si>
  <si>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</si>
  <si>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</si>
  <si>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</si>
  <si>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</si>
  <si>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</si>
  <si>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</si>
  <si>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</si>
  <si>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</si>
  <si>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</si>
  <si>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</si>
  <si>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</si>
  <si>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</si>
  <si>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</si>
  <si>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</si>
  <si>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</si>
  <si>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</si>
  <si>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</si>
  <si>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</si>
  <si>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</si>
  <si>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</si>
  <si>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</si>
  <si>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</si>
  <si>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</si>
  <si>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</si>
  <si>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</si>
  <si>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</si>
  <si>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</si>
  <si>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</si>
  <si>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</si>
  <si>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</si>
  <si>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</si>
  <si>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</si>
  <si>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</si>
  <si>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</si>
  <si>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</si>
  <si>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</si>
  <si>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</si>
  <si>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</si>
  <si>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</si>
  <si>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</si>
  <si>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</si>
  <si>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</si>
  <si>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</si>
  <si>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</si>
  <si>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</si>
  <si>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</si>
  <si>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</si>
  <si>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</si>
  <si>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</si>
  <si>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</si>
  <si>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</si>
  <si>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</si>
  <si>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</si>
  <si>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</si>
  <si>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</si>
  <si>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</si>
  <si>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</si>
  <si>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</si>
  <si>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</si>
  <si>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</si>
  <si>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</si>
  <si>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</si>
  <si>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</si>
  <si>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</si>
  <si>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</si>
  <si>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</si>
  <si>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</si>
  <si>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</si>
  <si>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</si>
  <si>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</si>
  <si>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</si>
  <si>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</si>
  <si>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</si>
  <si>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</si>
  <si>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</si>
  <si>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</si>
  <si>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</si>
  <si>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</si>
  <si>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</si>
  <si>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</si>
  <si>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</si>
  <si>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</si>
  <si>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</si>
  <si>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</si>
  <si>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</si>
  <si>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</si>
  <si>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</si>
  <si>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</si>
  <si>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</si>
  <si>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</si>
  <si>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</si>
  <si>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</si>
  <si>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</si>
  <si>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</si>
  <si>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</si>
  <si>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</si>
  <si>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</si>
  <si>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</si>
  <si>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</si>
  <si>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</si>
  <si>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</si>
  <si>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</si>
  <si>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</si>
  <si>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</si>
  <si>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</si>
  <si>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</si>
  <si>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</si>
  <si>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</si>
  <si>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</si>
  <si>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</si>
  <si>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</si>
  <si>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</si>
  <si>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</si>
  <si>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</si>
  <si>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</si>
  <si>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</si>
  <si>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</si>
  <si>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</si>
  <si>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</si>
  <si>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</si>
  <si>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</si>
  <si>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</si>
  <si>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</si>
  <si>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</si>
  <si>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</si>
  <si>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</si>
  <si>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</si>
  <si>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</si>
  <si>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</si>
  <si>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</si>
  <si>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</si>
  <si>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</si>
  <si>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</si>
  <si>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</si>
  <si>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</si>
  <si>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</si>
  <si>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</si>
  <si>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</si>
  <si>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</si>
  <si>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</si>
  <si>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</si>
  <si>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</si>
  <si>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</si>
  <si>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</si>
  <si>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</si>
  <si>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</si>
  <si>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</si>
  <si>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</si>
  <si>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</si>
  <si>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</si>
  <si>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</si>
  <si>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</si>
  <si>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</si>
  <si>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</si>
  <si>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</si>
  <si>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</si>
  <si>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</si>
  <si>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</si>
  <si>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</si>
  <si>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</si>
  <si>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</si>
  <si>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</si>
  <si>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</si>
  <si>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</si>
  <si>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</si>
  <si>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</si>
  <si>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</si>
  <si>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</si>
  <si>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</si>
  <si>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</si>
  <si>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</si>
  <si>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</si>
  <si>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</si>
  <si>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</si>
  <si>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</si>
  <si>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</si>
  <si>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</si>
  <si>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</si>
  <si>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</si>
  <si>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</si>
  <si>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</si>
  <si>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</si>
  <si>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</si>
  <si>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</si>
  <si>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</si>
  <si>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</si>
  <si>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</si>
  <si>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</si>
  <si>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</si>
  <si>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</si>
  <si>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</si>
  <si>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</si>
  <si>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</si>
  <si>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</si>
  <si>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</si>
  <si>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</si>
  <si>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</si>
  <si>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</si>
  <si>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</si>
  <si>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</si>
  <si>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</si>
  <si>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</si>
  <si>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</si>
  <si>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</si>
  <si>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</si>
  <si>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</si>
  <si>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</si>
  <si>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</si>
  <si>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</si>
  <si>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</si>
  <si>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</si>
  <si>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</si>
  <si>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</si>
  <si>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</si>
  <si>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</si>
  <si>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</si>
  <si>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</si>
  <si>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</si>
  <si>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</si>
  <si>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</si>
  <si>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</si>
  <si>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</si>
  <si>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</si>
  <si>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</si>
  <si>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</si>
  <si>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</si>
  <si>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</si>
  <si>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</si>
  <si>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</si>
  <si>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</si>
  <si>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</si>
  <si>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</si>
  <si>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</si>
  <si>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</si>
  <si>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</si>
  <si>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</si>
  <si>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</si>
  <si>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</si>
  <si>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</si>
  <si>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</si>
  <si>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</si>
  <si>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</si>
  <si>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</si>
  <si>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</si>
  <si>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</si>
  <si>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</si>
  <si>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</si>
  <si>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</si>
  <si>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</si>
  <si>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</si>
  <si>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</si>
  <si>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</si>
  <si>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</si>
  <si>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</si>
  <si>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</si>
  <si>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</si>
  <si>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</si>
  <si>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</si>
  <si>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</si>
  <si>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</si>
  <si>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</si>
  <si>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</si>
  <si>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</si>
  <si>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</si>
  <si>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</si>
  <si>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</si>
  <si>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</si>
  <si>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</si>
  <si>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</si>
  <si>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</si>
  <si>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</si>
  <si>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</si>
  <si>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</si>
  <si>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</si>
  <si>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</si>
  <si>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</si>
  <si>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</si>
  <si>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</si>
  <si>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</si>
  <si>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</si>
  <si>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</si>
  <si>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</si>
  <si>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</si>
  <si>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</si>
  <si>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</si>
  <si>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</si>
  <si>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</si>
  <si>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</si>
  <si>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</si>
  <si>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</si>
  <si>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</si>
  <si>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</si>
  <si>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</si>
  <si>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</si>
  <si>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</si>
  <si>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</si>
  <si>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</si>
  <si>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</si>
  <si>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</si>
  <si>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</si>
  <si>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</si>
  <si>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</si>
  <si>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</si>
  <si>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</si>
  <si>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</si>
  <si>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</si>
  <si>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</si>
  <si>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</si>
  <si>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</si>
  <si>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</si>
  <si>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</si>
  <si>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</si>
  <si>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</si>
  <si>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</si>
  <si>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</si>
  <si>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</si>
  <si>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</si>
  <si>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</si>
  <si>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</si>
  <si>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</si>
  <si>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</si>
  <si>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</si>
  <si>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</si>
  <si>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</si>
  <si>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</si>
  <si>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</si>
  <si>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</si>
  <si>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</si>
  <si>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</si>
  <si>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</si>
  <si>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</si>
  <si>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</si>
  <si>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</si>
  <si>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</si>
  <si>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</si>
  <si>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</si>
  <si>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</si>
  <si>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</si>
  <si>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</si>
  <si>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</si>
  <si>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</si>
  <si>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</si>
  <si>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</si>
  <si>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</si>
  <si>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</si>
  <si>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</si>
  <si>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</si>
  <si>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</si>
  <si>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</si>
  <si>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</si>
  <si>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</si>
  <si>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</si>
  <si>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</si>
  <si>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</si>
  <si>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</si>
  <si>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</si>
  <si>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</si>
  <si>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</si>
  <si>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</si>
  <si>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</si>
  <si>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</si>
  <si>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</si>
  <si>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</si>
  <si>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</si>
  <si>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</si>
  <si>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</si>
  <si>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</si>
  <si>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</si>
  <si>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</si>
  <si>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</si>
  <si>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</si>
  <si>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</si>
  <si>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</si>
  <si>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</si>
  <si>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</si>
  <si>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</si>
  <si>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</si>
  <si>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</si>
  <si>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</si>
  <si>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</si>
  <si>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</si>
  <si>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</si>
  <si>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</si>
  <si>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</si>
  <si>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</si>
  <si>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</si>
  <si>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</si>
  <si>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</si>
  <si>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</si>
  <si>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</si>
  <si>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</si>
  <si>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</si>
  <si>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</si>
  <si>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</si>
  <si>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</si>
  <si>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</si>
  <si>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</si>
  <si>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</si>
  <si>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</si>
  <si>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</si>
  <si>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</si>
  <si>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</si>
  <si>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</si>
  <si>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</si>
  <si>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</si>
  <si>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</si>
  <si>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</si>
  <si>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</si>
  <si>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</si>
  <si>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</si>
  <si>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</si>
  <si>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</si>
  <si>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</si>
  <si>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</si>
  <si>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</si>
  <si>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</si>
  <si>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</si>
  <si>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</si>
  <si>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</si>
  <si>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</si>
  <si>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</si>
  <si>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</si>
  <si>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</si>
  <si>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</si>
  <si>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</si>
  <si>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</si>
  <si>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</si>
  <si>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</si>
  <si>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</si>
  <si>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</si>
  <si>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</si>
  <si>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</si>
  <si>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</si>
  <si>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</si>
  <si>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</si>
  <si>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</si>
  <si>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</si>
  <si>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</si>
  <si>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</si>
  <si>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</si>
  <si>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</si>
  <si>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</si>
  <si>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</si>
  <si>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</si>
  <si>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</si>
  <si>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</si>
  <si>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</si>
  <si>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</si>
  <si>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</si>
  <si>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</si>
  <si>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</si>
  <si>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</si>
  <si>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</si>
  <si>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</si>
  <si>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</si>
  <si>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</si>
  <si>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</si>
  <si>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</si>
  <si>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</si>
  <si>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</si>
  <si>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</si>
  <si>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</si>
  <si>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</si>
  <si>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</si>
  <si>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</si>
  <si>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</si>
  <si>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</si>
  <si>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</si>
  <si>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</si>
  <si>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</si>
  <si>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</si>
  <si>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</si>
  <si>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</si>
  <si>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</si>
  <si>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</si>
  <si>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</si>
  <si>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</si>
  <si>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</si>
  <si>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</si>
  <si>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</si>
  <si>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</si>
  <si>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</si>
  <si>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</si>
  <si>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</si>
  <si>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</si>
  <si>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</si>
  <si>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</si>
  <si>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</si>
  <si>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</si>
  <si>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</si>
  <si>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</si>
  <si>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</si>
  <si>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</si>
  <si>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</si>
  <si>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</si>
  <si>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</si>
  <si>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</si>
  <si>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</si>
  <si>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</si>
  <si>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</si>
  <si>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</si>
  <si>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</si>
  <si>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</si>
  <si>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</si>
  <si>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</si>
  <si>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</si>
  <si>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</si>
  <si>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</si>
  <si>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</si>
  <si>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</si>
  <si>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</si>
  <si>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</si>
  <si>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</si>
  <si>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</si>
  <si>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</si>
  <si>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</si>
  <si>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</si>
  <si>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</si>
  <si>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</si>
  <si>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</si>
  <si>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</si>
  <si>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</si>
  <si>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</si>
  <si>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</si>
  <si>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</si>
  <si>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</si>
  <si>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</si>
  <si>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</si>
  <si>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</si>
  <si>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</si>
  <si>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</si>
  <si>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</si>
  <si>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</si>
  <si>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</si>
  <si>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</si>
  <si>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</si>
  <si>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</si>
  <si>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</si>
  <si>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</si>
  <si>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</si>
  <si>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</si>
  <si>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</si>
  <si>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</si>
  <si>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</si>
  <si>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</si>
  <si>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</si>
  <si>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</si>
  <si>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</si>
  <si>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</si>
  <si>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</si>
  <si>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</si>
  <si>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</si>
  <si>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</si>
  <si>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</si>
  <si>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</si>
  <si>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</si>
  <si>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</si>
  <si>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</si>
  <si>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</si>
  <si>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</si>
  <si>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</si>
  <si>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</si>
  <si>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</si>
  <si>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</si>
  <si>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</si>
  <si>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</si>
  <si>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</si>
  <si>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</si>
  <si>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</si>
  <si>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</si>
  <si>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</si>
  <si>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</si>
  <si>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</si>
  <si>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</si>
  <si>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</si>
  <si>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</si>
  <si>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</si>
  <si>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</si>
  <si>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</si>
  <si>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</si>
  <si>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</si>
  <si>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</si>
  <si>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</si>
  <si>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</si>
  <si>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</si>
  <si>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</si>
  <si>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</si>
  <si>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</si>
  <si>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</si>
  <si>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</si>
  <si>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</si>
  <si>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</si>
  <si>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</si>
  <si>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</si>
  <si>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</si>
  <si>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</si>
  <si>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</si>
  <si>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</si>
  <si>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</si>
  <si>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</si>
  <si>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</si>
  <si>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</si>
  <si>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</si>
  <si>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</si>
  <si>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</si>
  <si>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</si>
  <si>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</si>
  <si>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</si>
  <si>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</si>
  <si>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</si>
  <si>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</si>
  <si>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</si>
  <si>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</si>
  <si>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</si>
  <si>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</si>
  <si>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</si>
  <si>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</si>
  <si>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</si>
  <si>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</si>
  <si>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</si>
  <si>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</si>
  <si>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</si>
  <si>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</si>
  <si>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</si>
  <si>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</si>
  <si>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</si>
  <si>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</si>
  <si>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</si>
  <si>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</si>
  <si>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</si>
  <si>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</si>
  <si>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</si>
  <si>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</si>
  <si>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</si>
  <si>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</si>
  <si>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</si>
  <si>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</si>
  <si>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</si>
  <si>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</si>
  <si>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</si>
  <si>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</si>
  <si>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</si>
  <si>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</si>
  <si>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</si>
  <si>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</si>
  <si>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</si>
  <si>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</si>
  <si>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</si>
  <si>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</si>
  <si>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</si>
  <si>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</si>
  <si>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</si>
  <si>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</si>
  <si>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</si>
  <si>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</si>
  <si>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</si>
  <si>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</si>
  <si>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</si>
  <si>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</si>
  <si>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</si>
  <si>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</si>
  <si>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</si>
  <si>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</si>
  <si>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</si>
  <si>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</si>
  <si>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</si>
  <si>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</si>
  <si>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</si>
  <si>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</si>
  <si>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</si>
  <si>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</si>
  <si>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</si>
  <si>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</si>
  <si>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</si>
  <si>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</si>
  <si>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</si>
  <si>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</si>
  <si>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</si>
  <si>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</si>
  <si>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</si>
  <si>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</si>
  <si>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</si>
  <si>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</si>
  <si>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</si>
  <si>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</si>
  <si>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</si>
  <si>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</si>
  <si>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</si>
  <si>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</si>
  <si>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</si>
  <si>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</si>
  <si>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</si>
  <si>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</si>
  <si>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</si>
  <si>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</si>
  <si>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</si>
  <si>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</si>
  <si>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</si>
  <si>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</si>
  <si>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</si>
  <si>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</si>
  <si>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</si>
  <si>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</si>
  <si>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</si>
  <si>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</si>
  <si>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</si>
  <si>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</si>
  <si>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</si>
  <si>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</si>
  <si>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</si>
  <si>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</si>
  <si>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</si>
  <si>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</si>
  <si>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</si>
  <si>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</si>
  <si>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</si>
  <si>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</si>
  <si>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</si>
  <si>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</si>
  <si>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</si>
  <si>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</si>
  <si>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</si>
  <si>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</si>
  <si>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</si>
  <si>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</si>
  <si>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</si>
  <si>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</si>
  <si>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</si>
  <si>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</si>
  <si>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</si>
  <si>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</si>
  <si>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</si>
  <si>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</si>
  <si>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</si>
  <si>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</si>
  <si>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</si>
  <si>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</si>
  <si>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</si>
  <si>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</si>
  <si>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</si>
  <si>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</si>
  <si>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</si>
  <si>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</si>
  <si>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</si>
  <si>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</si>
  <si>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</si>
  <si>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</si>
  <si>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</si>
  <si>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</si>
  <si>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</si>
  <si>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</si>
  <si>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</si>
  <si>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</si>
  <si>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</si>
  <si>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</si>
  <si>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</si>
  <si>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</si>
  <si>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</si>
  <si>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</si>
  <si>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</si>
  <si>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</si>
  <si>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</si>
  <si>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</si>
  <si>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</si>
  <si>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</si>
  <si>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</si>
  <si>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</si>
  <si>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</si>
  <si>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</si>
  <si>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</si>
  <si>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</si>
  <si>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</si>
  <si>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</si>
  <si>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</si>
  <si>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</si>
  <si>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</si>
  <si>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</si>
  <si>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</si>
  <si>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</si>
  <si>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</si>
  <si>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</si>
  <si>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</si>
  <si>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</si>
  <si>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</si>
  <si>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</si>
  <si>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</si>
  <si>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</si>
  <si>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</si>
  <si>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</si>
  <si>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</si>
  <si>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</si>
  <si>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</si>
  <si>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</si>
  <si>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</si>
  <si>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</si>
  <si>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</si>
  <si>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</si>
  <si>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</si>
  <si>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</si>
  <si>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</si>
  <si>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</si>
  <si>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</si>
  <si>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</si>
  <si>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</si>
  <si>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</si>
  <si>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</si>
  <si>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</si>
  <si>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</si>
  <si>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</si>
  <si>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</si>
  <si>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</si>
  <si>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</si>
  <si>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</si>
  <si>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</si>
  <si>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</si>
  <si>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</si>
  <si>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</si>
  <si>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</si>
  <si>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</si>
  <si>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</si>
  <si>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</si>
  <si>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</si>
  <si>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</si>
  <si>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</si>
  <si>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</si>
  <si>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</si>
  <si>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</si>
  <si>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</si>
  <si>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</si>
  <si>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</si>
  <si>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</si>
  <si>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</si>
  <si>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</si>
  <si>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</si>
  <si>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</si>
  <si>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</si>
  <si>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</si>
  <si>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</si>
  <si>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</si>
  <si>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</si>
  <si>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</si>
  <si>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</si>
  <si>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</si>
  <si>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</si>
  <si>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</si>
  <si>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</si>
  <si>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</si>
  <si>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</si>
  <si>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</si>
  <si>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</si>
  <si>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</si>
  <si>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</si>
  <si>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</si>
  <si>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</si>
  <si>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</si>
  <si>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</si>
  <si>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</si>
  <si>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</si>
  <si>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</si>
  <si>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</si>
  <si>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</si>
  <si>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</si>
  <si>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</si>
  <si>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</si>
  <si>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</si>
  <si>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</si>
  <si>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</si>
  <si>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</si>
  <si>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</si>
  <si>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</si>
  <si>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</si>
  <si>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</si>
  <si>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</si>
  <si>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</si>
  <si>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</si>
  <si>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</si>
  <si>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</si>
  <si>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</si>
  <si>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</si>
  <si>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</si>
  <si>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</si>
  <si>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</si>
  <si>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</si>
  <si>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</si>
  <si>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</si>
  <si>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</si>
  <si>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</si>
  <si>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</si>
  <si>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</si>
  <si>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</si>
  <si>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</si>
  <si>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</si>
  <si>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</si>
  <si>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</si>
  <si>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</si>
  <si>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</si>
  <si>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</si>
  <si>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</si>
  <si>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</si>
  <si>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</si>
  <si>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</si>
  <si>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</si>
  <si>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</si>
  <si>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</si>
  <si>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</si>
  <si>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</si>
  <si>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</si>
  <si>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</si>
  <si>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</si>
  <si>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</si>
  <si>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</si>
  <si>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</si>
  <si>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</si>
  <si>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</si>
  <si>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</si>
  <si>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</si>
  <si>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</si>
  <si>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</si>
  <si>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</si>
  <si>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</si>
  <si>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</si>
  <si>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</si>
  <si>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</si>
  <si>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</si>
  <si>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</si>
  <si>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</si>
  <si>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</si>
  <si>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</si>
  <si>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</si>
  <si>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</si>
  <si>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</si>
  <si>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</si>
  <si>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</si>
  <si>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</si>
  <si>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</si>
  <si>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</si>
  <si>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</si>
  <si>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</si>
  <si>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</si>
  <si>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</si>
  <si>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</si>
  <si>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</si>
  <si>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</si>
  <si>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</si>
  <si>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</si>
  <si>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</si>
  <si>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</si>
  <si>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</si>
  <si>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</si>
  <si>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</si>
  <si>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</si>
  <si>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</si>
  <si>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</si>
  <si>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</si>
  <si>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</si>
  <si>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</si>
  <si>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</si>
  <si>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</si>
  <si>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</si>
  <si>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</si>
  <si>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</si>
  <si>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</si>
  <si>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</si>
  <si>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</si>
  <si>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</si>
  <si>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</si>
  <si>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</si>
  <si>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</si>
  <si>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</si>
  <si>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</si>
  <si>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</si>
  <si>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</si>
  <si>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</si>
  <si>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</si>
  <si>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</si>
  <si>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</si>
  <si>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</si>
  <si>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</si>
  <si>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</si>
  <si>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</si>
  <si>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</si>
  <si>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</si>
  <si>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</si>
  <si>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</si>
  <si>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</si>
  <si>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</si>
  <si>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</si>
  <si>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</si>
  <si>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</si>
  <si>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</si>
  <si>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</si>
  <si>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</si>
  <si>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</si>
  <si>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</si>
  <si>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</si>
  <si>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</si>
  <si>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</si>
  <si>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</si>
  <si>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</si>
  <si>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</si>
  <si>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</si>
  <si>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</si>
  <si>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</si>
  <si>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</si>
  <si>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</si>
  <si>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</si>
  <si>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</si>
  <si>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</si>
  <si>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</si>
  <si>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</si>
  <si>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</si>
  <si>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</si>
  <si>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</si>
  <si>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</si>
  <si>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</si>
  <si>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</si>
  <si>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</si>
  <si>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</si>
  <si>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</si>
  <si>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</si>
  <si>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</si>
  <si>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</si>
  <si>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</si>
  <si>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</si>
  <si>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</si>
  <si>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</si>
  <si>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</si>
  <si>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</si>
  <si>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</si>
  <si>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</si>
  <si>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</si>
  <si>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</si>
  <si>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</si>
  <si>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</si>
  <si>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</si>
  <si>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</si>
  <si>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</si>
  <si>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</si>
  <si>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</si>
  <si>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</si>
  <si>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</si>
  <si>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</si>
  <si>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</si>
  <si>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</si>
  <si>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</si>
  <si>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</si>
  <si>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</si>
  <si>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</si>
  <si>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</si>
  <si>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</si>
  <si>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</si>
  <si>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</si>
  <si>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</si>
  <si>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</si>
  <si>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</si>
  <si>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</si>
  <si>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</si>
  <si>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</si>
  <si>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</si>
  <si>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</si>
  <si>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</si>
  <si>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</si>
  <si>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</si>
  <si>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</si>
  <si>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</si>
  <si>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</si>
  <si>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</si>
  <si>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</si>
  <si>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</si>
  <si>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</si>
  <si>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</si>
  <si>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</si>
  <si>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</si>
  <si>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</si>
  <si>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</si>
  <si>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</si>
  <si>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</si>
  <si>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</si>
  <si>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</si>
  <si>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</si>
  <si>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</si>
  <si>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</si>
  <si>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</si>
  <si>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</si>
  <si>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</si>
  <si>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</si>
  <si>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</si>
  <si>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</si>
  <si>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</si>
  <si>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</si>
  <si>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</si>
  <si>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</si>
  <si>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</si>
  <si>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</si>
  <si>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</si>
  <si>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</si>
  <si>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</si>
  <si>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</si>
  <si>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</si>
  <si>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</si>
  <si>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</si>
  <si>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</si>
  <si>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</si>
  <si>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</si>
  <si>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</si>
  <si>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</si>
  <si>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</si>
  <si>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</si>
  <si>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</si>
  <si>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</si>
  <si>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</si>
  <si>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</si>
  <si>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</si>
  <si>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</si>
  <si>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</si>
  <si>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</si>
  <si>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</si>
  <si>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</si>
  <si>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</si>
  <si>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</si>
  <si>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</si>
  <si>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</si>
  <si>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</si>
  <si>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</si>
  <si>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</si>
  <si>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</si>
  <si>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</si>
  <si>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</si>
  <si>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</si>
  <si>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</si>
  <si>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</si>
  <si>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</si>
  <si>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</si>
  <si>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</si>
  <si>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</si>
  <si>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</si>
  <si>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</si>
  <si>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</si>
  <si>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</si>
  <si>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</si>
  <si>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</si>
  <si>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</si>
  <si>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</si>
  <si>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</si>
  <si>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</si>
  <si>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</si>
  <si>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</si>
  <si>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</si>
  <si>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</si>
  <si>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</si>
  <si>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</si>
  <si>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</si>
  <si>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</si>
  <si>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</si>
  <si>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</si>
  <si>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</si>
  <si>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</si>
  <si>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</si>
  <si>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</si>
  <si>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</si>
  <si>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</si>
  <si>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</si>
  <si>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</si>
  <si>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</si>
  <si>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</si>
  <si>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</si>
  <si>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</si>
  <si>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</si>
  <si>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</si>
  <si>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</si>
  <si>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</si>
  <si>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</si>
  <si>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</si>
  <si>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</si>
  <si>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</si>
  <si>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</si>
  <si>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</si>
  <si>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</si>
  <si>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</si>
  <si>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</si>
  <si>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</si>
  <si>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</si>
  <si>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</si>
  <si>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</si>
  <si>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</si>
  <si>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</si>
  <si>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</si>
  <si>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</si>
  <si>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</si>
  <si>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</si>
  <si>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</si>
  <si>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</si>
  <si>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</si>
  <si>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</si>
  <si>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</si>
  <si>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</si>
  <si>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</si>
  <si>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</si>
  <si>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</si>
  <si>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</si>
  <si>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</si>
  <si>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</si>
  <si>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</si>
  <si>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</si>
  <si>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</si>
  <si>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</si>
  <si>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</si>
  <si>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</si>
  <si>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</si>
  <si>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</si>
  <si>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</si>
  <si>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</si>
  <si>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</si>
  <si>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</si>
  <si>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</si>
  <si>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</si>
  <si>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</si>
  <si>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</si>
  <si>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</si>
  <si>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</si>
  <si>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</si>
  <si>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</si>
  <si>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</si>
  <si>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</si>
  <si>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</si>
  <si>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</si>
  <si>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</si>
  <si>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</si>
  <si>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</si>
  <si>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</si>
  <si>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</si>
  <si>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</si>
  <si>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</si>
  <si>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</si>
  <si>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</si>
  <si>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</si>
  <si>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</si>
  <si>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</si>
  <si>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</si>
  <si>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</si>
  <si>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</si>
  <si>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</si>
  <si>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</si>
  <si>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</si>
  <si>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</si>
  <si>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</si>
  <si>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</si>
  <si>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</si>
  <si>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</si>
  <si>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</si>
  <si>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</si>
  <si>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</si>
  <si>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</si>
  <si>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</si>
  <si>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</si>
  <si>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</si>
  <si>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</si>
  <si>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</si>
  <si>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</si>
  <si>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</si>
  <si>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</si>
  <si>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</si>
  <si>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</si>
  <si>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</si>
  <si>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</si>
  <si>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</si>
  <si>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</si>
  <si>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</si>
  <si>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</si>
  <si>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</si>
  <si>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</si>
  <si>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</si>
  <si>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</si>
  <si>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</si>
  <si>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</si>
  <si>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</si>
  <si>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</si>
  <si>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</si>
  <si>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</si>
  <si>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</si>
  <si>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</si>
  <si>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</si>
  <si>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</si>
  <si>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</si>
  <si>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</si>
  <si>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</si>
  <si>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</si>
  <si>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</si>
  <si>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</si>
  <si>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</si>
  <si>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</si>
  <si>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</si>
  <si>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</si>
  <si>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</si>
  <si>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</si>
  <si>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</si>
  <si>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</si>
  <si>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</si>
  <si>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</si>
  <si>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</si>
  <si>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</si>
  <si>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</si>
  <si>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</si>
  <si>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</si>
  <si>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</si>
  <si>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</si>
  <si>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</si>
  <si>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</si>
  <si>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</si>
  <si>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</si>
  <si>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</si>
  <si>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</si>
  <si>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</si>
  <si>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</si>
  <si>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</si>
  <si>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</si>
  <si>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</si>
  <si>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</si>
  <si>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</si>
  <si>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</si>
  <si>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</si>
  <si>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</si>
  <si>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</si>
  <si>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</si>
  <si>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</si>
  <si>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</si>
  <si>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</si>
  <si>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</si>
  <si>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</si>
  <si>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</si>
  <si>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</si>
  <si>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</si>
  <si>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</si>
  <si>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</si>
  <si>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</si>
  <si>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</si>
  <si>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</si>
  <si>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</si>
  <si>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</si>
  <si>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</si>
  <si>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</si>
  <si>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</si>
  <si>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</si>
  <si>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</si>
  <si>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</si>
  <si>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</si>
  <si>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</si>
  <si>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</si>
  <si>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</si>
  <si>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</si>
  <si>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</si>
  <si>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</si>
  <si>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</si>
  <si>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</si>
  <si>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</si>
  <si>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</si>
  <si>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</si>
  <si>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</si>
  <si>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</si>
  <si>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</si>
  <si>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</si>
  <si>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</si>
  <si>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</si>
  <si>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</si>
  <si>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</si>
  <si>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</si>
  <si>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</si>
  <si>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</si>
  <si>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</si>
  <si>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</si>
  <si>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</si>
  <si>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</si>
  <si>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</si>
  <si>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</si>
  <si>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</si>
  <si>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</si>
  <si>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</si>
  <si>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</si>
  <si>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</si>
  <si>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</si>
  <si>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</si>
  <si>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</si>
  <si>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</si>
  <si>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</si>
  <si>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</si>
  <si>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</si>
  <si>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</si>
  <si>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</si>
  <si>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</si>
  <si>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</si>
  <si>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</si>
  <si>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</si>
  <si>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</si>
  <si>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</si>
  <si>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</si>
  <si>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</si>
  <si>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</si>
  <si>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</si>
  <si>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</si>
  <si>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</si>
  <si>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</si>
  <si>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</si>
  <si>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</si>
  <si>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</si>
  <si>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</si>
  <si>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</si>
  <si>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</si>
  <si>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</si>
  <si>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</si>
  <si>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</si>
  <si>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</si>
  <si>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</si>
  <si>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</si>
  <si>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</si>
  <si>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</si>
  <si>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</si>
  <si>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</si>
  <si>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</si>
  <si>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</si>
  <si>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</si>
  <si>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</si>
  <si>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</si>
  <si>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</si>
  <si>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</si>
  <si>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</si>
  <si>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</si>
  <si>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</si>
  <si>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</si>
  <si>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</si>
  <si>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</si>
  <si>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</si>
  <si>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</si>
  <si>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</si>
  <si>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</si>
  <si>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</si>
  <si>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</si>
  <si>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</si>
  <si>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</si>
  <si>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</si>
  <si>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</si>
  <si>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</si>
  <si>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</si>
  <si>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</si>
  <si>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</si>
  <si>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</si>
  <si>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</si>
  <si>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</si>
  <si>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</si>
  <si>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</si>
  <si>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</si>
  <si>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</si>
  <si>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</si>
  <si>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</si>
  <si>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</si>
  <si>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</si>
  <si>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</si>
  <si>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</si>
  <si>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</si>
  <si>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</si>
  <si>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</si>
  <si>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</si>
  <si>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</si>
  <si>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</si>
  <si>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</si>
  <si>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</si>
  <si>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</si>
  <si>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</si>
  <si>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</si>
  <si>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</si>
  <si>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</si>
  <si>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</si>
  <si>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</si>
  <si>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</si>
  <si>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</si>
  <si>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</si>
  <si>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</si>
  <si>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</si>
  <si>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</si>
  <si>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</si>
  <si>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</si>
  <si>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</si>
  <si>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</si>
  <si>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</si>
  <si>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</si>
  <si>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</si>
  <si>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</si>
  <si>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</si>
  <si>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</si>
  <si>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</si>
  <si>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</si>
  <si>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</si>
  <si>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</si>
  <si>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</si>
  <si>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</si>
  <si>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</si>
  <si>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</si>
  <si>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</si>
  <si>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</si>
  <si>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</si>
  <si>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</si>
  <si>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</si>
  <si>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</si>
  <si>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</si>
  <si>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</si>
  <si>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</si>
  <si>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</si>
  <si>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</si>
  <si>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</si>
  <si>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</si>
  <si>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</si>
  <si>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</si>
  <si>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</si>
  <si>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</si>
  <si>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</si>
  <si>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</si>
  <si>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</si>
  <si>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</si>
  <si>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</si>
  <si>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</si>
  <si>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</si>
  <si>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</si>
  <si>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</si>
  <si>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</si>
  <si>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</si>
  <si>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</si>
  <si>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</si>
  <si>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</si>
  <si>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</si>
  <si>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</si>
  <si>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</si>
  <si>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</si>
  <si>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</si>
  <si>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</si>
  <si>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</si>
  <si>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</si>
  <si>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</si>
  <si>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</si>
  <si>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</si>
  <si>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</si>
  <si>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</si>
  <si>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</si>
  <si>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</si>
  <si>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</si>
  <si>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</si>
  <si>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</si>
  <si>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</si>
  <si>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</si>
  <si>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</si>
  <si>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</si>
  <si>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</si>
  <si>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</si>
  <si>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</si>
  <si>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</si>
  <si>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</si>
  <si>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</si>
  <si>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</si>
  <si>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</si>
  <si>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</si>
  <si>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</si>
  <si>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</si>
  <si>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</si>
  <si>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</si>
  <si>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</si>
  <si>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</si>
  <si>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</si>
  <si>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</si>
  <si>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</si>
  <si>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</si>
  <si>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</si>
  <si>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</si>
  <si>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</si>
  <si>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</si>
  <si>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</si>
  <si>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</si>
  <si>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</si>
  <si>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</si>
  <si>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</si>
  <si>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</si>
  <si>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</si>
  <si>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</si>
  <si>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</si>
  <si>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</si>
  <si>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</si>
  <si>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</si>
  <si>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</si>
  <si>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</si>
  <si>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</si>
  <si>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</si>
  <si>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</si>
  <si>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</si>
  <si>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</si>
  <si>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</si>
  <si>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</si>
  <si>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</si>
  <si>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</si>
  <si>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</si>
  <si>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</si>
  <si>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</si>
  <si>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</si>
  <si>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</si>
  <si>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</si>
  <si>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</si>
  <si>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</si>
  <si>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</si>
  <si>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</si>
  <si>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</si>
  <si>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</si>
  <si>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</si>
  <si>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</si>
  <si>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</si>
  <si>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</si>
  <si>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</si>
  <si>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</si>
  <si>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</si>
  <si>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</si>
  <si>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</si>
  <si>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</si>
  <si>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</si>
  <si>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</si>
  <si>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</si>
  <si>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</si>
  <si>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</si>
  <si>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</si>
  <si>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</si>
  <si>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</si>
  <si>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</si>
  <si>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</si>
  <si>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</si>
  <si>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</si>
  <si>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</si>
  <si>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</si>
  <si>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</si>
  <si>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</si>
  <si>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</si>
  <si>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</si>
  <si>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</si>
  <si>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</si>
  <si>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</si>
  <si>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</si>
  <si>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</si>
  <si>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</si>
  <si>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</si>
  <si>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</si>
  <si>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</si>
  <si>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</si>
  <si>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</si>
  <si>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</si>
  <si>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</si>
  <si>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</si>
  <si>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</si>
  <si>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</si>
  <si>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</si>
  <si>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</si>
  <si>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</si>
  <si>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</si>
  <si>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</si>
  <si>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</si>
  <si>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</si>
  <si>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</si>
  <si>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</si>
  <si>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</si>
  <si>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</si>
  <si>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</si>
  <si>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</si>
  <si>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</si>
  <si>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</si>
  <si>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</si>
  <si>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</si>
  <si>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</si>
  <si>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</si>
  <si>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</si>
  <si>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</si>
  <si>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</si>
  <si>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</si>
  <si>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</si>
  <si>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</si>
  <si>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</si>
  <si>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</si>
  <si>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</si>
  <si>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</si>
  <si>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</si>
  <si>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</si>
  <si>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</si>
  <si>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</si>
  <si>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</si>
  <si>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</si>
  <si>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</si>
  <si>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</si>
  <si>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</si>
  <si>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</si>
  <si>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</si>
  <si>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</si>
  <si>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</si>
  <si>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</si>
  <si>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</si>
  <si>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</si>
  <si>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</si>
  <si>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</si>
  <si>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</si>
  <si>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</si>
  <si>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</si>
  <si>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</si>
  <si>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</si>
  <si>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</si>
  <si>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</si>
  <si>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</si>
  <si>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</si>
  <si>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</si>
  <si>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</si>
  <si>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</si>
  <si>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</si>
  <si>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</si>
  <si>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</si>
  <si>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</si>
  <si>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</si>
  <si>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</si>
  <si>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</si>
  <si>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</si>
  <si>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</si>
  <si>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</si>
  <si>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</si>
  <si>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</si>
  <si>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</si>
  <si>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</si>
  <si>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</si>
  <si>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</si>
  <si>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</si>
  <si>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</si>
  <si>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</si>
  <si>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</si>
  <si>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</si>
  <si>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</si>
  <si>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</si>
  <si>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</si>
  <si>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</si>
  <si>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</si>
  <si>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</si>
  <si>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</si>
  <si>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</si>
  <si>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</si>
  <si>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</si>
  <si>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</si>
  <si>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</si>
  <si>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</si>
  <si>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</si>
  <si>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</si>
  <si>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</si>
  <si>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</si>
  <si>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</si>
  <si>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</si>
  <si>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</si>
  <si>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</si>
  <si>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</si>
  <si>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</si>
  <si>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</si>
  <si>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</si>
  <si>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</si>
  <si>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</si>
  <si>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</si>
  <si>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</si>
  <si>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</si>
  <si>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</si>
  <si>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</si>
  <si>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</si>
  <si>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</si>
  <si>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</si>
  <si>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</si>
  <si>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</si>
  <si>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</si>
  <si>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</si>
  <si>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</si>
  <si>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</si>
  <si>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</si>
  <si>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</si>
  <si>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</si>
  <si>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</si>
  <si>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</si>
  <si>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</si>
  <si>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</si>
  <si>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</si>
  <si>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</si>
  <si>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</si>
  <si>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</si>
  <si>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</si>
  <si>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</si>
  <si>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</si>
  <si>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</si>
  <si>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</si>
  <si>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</si>
  <si>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</si>
  <si>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</si>
  <si>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</si>
  <si>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</si>
  <si>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</si>
  <si>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</si>
  <si>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</si>
  <si>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</si>
  <si>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</si>
  <si>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</si>
  <si>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</si>
  <si>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</si>
  <si>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</si>
  <si>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</si>
  <si>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</si>
  <si>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</si>
  <si>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</si>
  <si>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</si>
  <si>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</si>
  <si>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</si>
  <si>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</si>
  <si>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</si>
  <si>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</si>
  <si>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</si>
  <si>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</si>
  <si>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</si>
  <si>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</si>
  <si>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</si>
  <si>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</si>
  <si>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</si>
  <si>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</si>
  <si>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</si>
  <si>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</si>
  <si>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</si>
  <si>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</si>
  <si>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</si>
  <si>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</si>
  <si>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</si>
  <si>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</si>
  <si>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</si>
  <si>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</si>
  <si>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</si>
  <si>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</si>
  <si>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</si>
  <si>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</si>
  <si>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</si>
  <si>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</si>
  <si>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</si>
  <si>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</si>
  <si>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</si>
  <si>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</si>
  <si>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</si>
  <si>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</si>
  <si>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</si>
  <si>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</si>
  <si>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</si>
  <si>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</si>
  <si>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</si>
  <si>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</si>
  <si>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</si>
  <si>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</si>
  <si>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</si>
  <si>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</si>
  <si>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</si>
  <si>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</si>
  <si>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</si>
  <si>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</si>
  <si>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</si>
  <si>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</si>
  <si>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</si>
  <si>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</si>
  <si>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</si>
  <si>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</si>
  <si>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</si>
  <si>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</si>
  <si>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</si>
  <si>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</si>
  <si>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</si>
  <si>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</si>
  <si>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</si>
  <si>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</si>
  <si>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</si>
  <si>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</si>
  <si>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</si>
  <si>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</si>
  <si>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</si>
  <si>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</si>
  <si>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</si>
  <si>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</si>
  <si>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</si>
  <si>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</si>
  <si>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</si>
  <si>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</si>
  <si>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</si>
  <si>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</si>
  <si>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</si>
  <si>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</si>
  <si>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</si>
  <si>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</si>
  <si>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</si>
  <si>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</si>
  <si>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</si>
  <si>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</si>
  <si>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</si>
  <si>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</si>
  <si>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</si>
  <si>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</si>
  <si>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</si>
  <si>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</si>
  <si>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</si>
  <si>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</si>
  <si>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</si>
  <si>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</si>
  <si>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</si>
  <si>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</si>
  <si>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</si>
  <si>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</si>
  <si>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</si>
  <si>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</si>
  <si>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</si>
  <si>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</si>
  <si>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</si>
  <si>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</si>
  <si>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</si>
  <si>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</si>
  <si>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</si>
  <si>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</si>
  <si>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</si>
  <si>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</si>
  <si>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</si>
  <si>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</si>
  <si>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</si>
  <si>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</si>
  <si>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</si>
  <si>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</si>
  <si>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</si>
  <si>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</si>
  <si>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</si>
  <si>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</si>
  <si>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</si>
  <si>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</si>
  <si>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</si>
  <si>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</si>
  <si>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</si>
  <si>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</si>
  <si>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</si>
  <si>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</si>
  <si>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</si>
  <si>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</si>
  <si>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</si>
  <si>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</si>
  <si>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</si>
  <si>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</si>
  <si>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</si>
  <si>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</si>
  <si>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</si>
  <si>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</si>
  <si>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</si>
  <si>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</si>
  <si>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</si>
  <si>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</si>
  <si>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</si>
  <si>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</si>
  <si>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</si>
  <si>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</si>
  <si>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</si>
  <si>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</si>
  <si>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</si>
  <si>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</si>
  <si>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</si>
  <si>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</si>
  <si>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</si>
  <si>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</si>
  <si>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</si>
  <si>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</si>
  <si>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</si>
  <si>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</si>
  <si>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</si>
  <si>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</si>
  <si>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</si>
  <si>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</si>
  <si>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</si>
  <si>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</si>
  <si>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</si>
  <si>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</si>
  <si>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</si>
  <si>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</si>
  <si>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</si>
  <si>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</si>
  <si>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</si>
  <si>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</si>
  <si>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</si>
  <si>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</si>
  <si>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</si>
  <si>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</si>
  <si>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</si>
  <si>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</si>
  <si>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</si>
  <si>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</si>
  <si>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</si>
  <si>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</si>
  <si>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</si>
  <si>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</si>
  <si>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</si>
  <si>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</si>
  <si>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</si>
  <si>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</si>
  <si>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</si>
  <si>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</si>
  <si>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</si>
  <si>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</si>
  <si>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</si>
  <si>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</si>
  <si>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</si>
  <si>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</si>
  <si>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</si>
  <si>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</si>
  <si>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</si>
  <si>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</si>
  <si>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</si>
  <si>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</si>
  <si>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</si>
  <si>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</si>
  <si>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</si>
  <si>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</si>
  <si>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</si>
  <si>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</si>
  <si>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</si>
  <si>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</si>
  <si>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</si>
  <si>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</si>
  <si>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</si>
  <si>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</si>
  <si>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</si>
  <si>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</si>
  <si>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</si>
  <si>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</si>
  <si>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</si>
  <si>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</si>
  <si>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</si>
  <si>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</si>
  <si>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</si>
  <si>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</si>
  <si>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</si>
  <si>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</si>
  <si>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</si>
  <si>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</si>
  <si>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</si>
  <si>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</si>
  <si>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</si>
  <si>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</si>
  <si>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</si>
  <si>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</si>
  <si>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</si>
  <si>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</si>
  <si>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</si>
  <si>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</si>
  <si>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</si>
  <si>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</si>
  <si>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</si>
  <si>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</si>
  <si>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</si>
  <si>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</si>
  <si>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</si>
  <si>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</si>
  <si>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</si>
  <si>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</si>
  <si>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</si>
  <si>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</si>
  <si>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</si>
  <si>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</si>
  <si>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</si>
  <si>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</si>
  <si>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</si>
  <si>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</si>
  <si>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</si>
  <si>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</si>
  <si>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</si>
  <si>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</si>
  <si>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</si>
  <si>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</si>
  <si>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</si>
  <si>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</si>
  <si>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</si>
  <si>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</si>
  <si>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</si>
  <si>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</si>
  <si>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</si>
  <si>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</si>
  <si>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</si>
  <si>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</si>
  <si>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</si>
  <si>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</si>
  <si>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</si>
  <si>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</si>
  <si>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</si>
  <si>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</si>
  <si>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</si>
  <si>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</si>
  <si>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</si>
  <si>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</si>
  <si>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</si>
  <si>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</si>
  <si>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</si>
  <si>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</si>
  <si>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</si>
  <si>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</si>
  <si>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</si>
  <si>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</si>
  <si>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</si>
  <si>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</si>
  <si>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</si>
  <si>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</si>
  <si>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</si>
  <si>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</si>
  <si>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</si>
  <si>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</si>
  <si>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</si>
  <si>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</si>
  <si>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</si>
  <si>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</si>
  <si>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</si>
  <si>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</si>
  <si>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</si>
  <si>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</si>
  <si>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</si>
  <si>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</si>
  <si>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</si>
  <si>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</si>
  <si>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</si>
  <si>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</si>
  <si>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</si>
  <si>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</si>
  <si>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</si>
  <si>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</si>
  <si>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</si>
  <si>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</si>
  <si>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</si>
  <si>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</si>
  <si>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</si>
  <si>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</si>
  <si>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</si>
  <si>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</si>
  <si>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</si>
  <si>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</si>
  <si>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</si>
  <si>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</si>
  <si>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</si>
  <si>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</si>
  <si>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</si>
  <si>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</si>
  <si>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</si>
  <si>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</si>
  <si>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</si>
  <si>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</si>
  <si>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</si>
  <si>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</si>
  <si>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</si>
  <si>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</si>
  <si>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</si>
  <si>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</si>
  <si>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</si>
  <si>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</si>
  <si>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</si>
  <si>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</si>
  <si>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</si>
  <si>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</si>
  <si>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</si>
  <si>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</si>
  <si>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</si>
  <si>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</si>
  <si>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</si>
  <si>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</si>
  <si>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</si>
  <si>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</si>
  <si>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</si>
  <si>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</si>
  <si>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</si>
  <si>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</si>
  <si>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</si>
  <si>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</si>
  <si>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</si>
  <si>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</si>
  <si>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</si>
  <si>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</si>
  <si>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</si>
  <si>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</si>
  <si>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</si>
  <si>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</si>
  <si>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</si>
  <si>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</si>
  <si>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</si>
  <si>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</si>
  <si>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</si>
  <si>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</si>
  <si>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</si>
  <si>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</si>
  <si>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</si>
  <si>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</si>
  <si>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</si>
  <si>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</si>
  <si>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</si>
  <si>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</si>
  <si>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</si>
  <si>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</si>
  <si>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</si>
  <si>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</si>
  <si>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</si>
  <si>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</si>
  <si>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</si>
  <si>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</si>
  <si>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</si>
  <si>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</si>
  <si>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</si>
  <si>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</si>
  <si>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</si>
  <si>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</si>
  <si>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</si>
  <si>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</si>
  <si>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</si>
  <si>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</si>
  <si>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</si>
  <si>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</si>
  <si>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</si>
  <si>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</si>
  <si>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</si>
  <si>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</si>
  <si>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</si>
  <si>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</si>
  <si>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</si>
  <si>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</si>
  <si>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</si>
  <si>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</si>
  <si>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</si>
  <si>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</si>
  <si>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</si>
  <si>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</si>
  <si>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</si>
  <si>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</si>
  <si>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</si>
  <si>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</si>
  <si>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</si>
  <si>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</si>
  <si>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</si>
  <si>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</si>
  <si>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</si>
  <si>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</si>
  <si>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</si>
  <si>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</si>
  <si>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</si>
  <si>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</si>
  <si>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</si>
  <si>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</si>
  <si>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</si>
  <si>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</si>
  <si>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</si>
  <si>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</si>
  <si>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</si>
  <si>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</si>
  <si>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</si>
  <si>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</si>
  <si>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</si>
  <si>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</si>
  <si>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</si>
  <si>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</si>
  <si>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</si>
  <si>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</si>
  <si>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</si>
  <si>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</si>
  <si>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</si>
  <si>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</si>
  <si>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</si>
  <si>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</si>
  <si>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</si>
  <si>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</si>
  <si>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</si>
  <si>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</si>
  <si>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</si>
  <si>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</si>
  <si>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</si>
  <si>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</si>
  <si>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</si>
  <si>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</si>
  <si>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</si>
  <si>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</si>
  <si>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</si>
  <si>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</si>
  <si>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</si>
  <si>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</si>
  <si>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</si>
  <si>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</si>
  <si>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</si>
  <si>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</si>
  <si>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</si>
  <si>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</si>
  <si>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</si>
  <si>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</si>
  <si>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</si>
  <si>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</si>
  <si>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</si>
  <si>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</si>
  <si>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</si>
  <si>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</si>
  <si>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</si>
  <si>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</si>
  <si>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</si>
  <si>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</si>
  <si>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</si>
  <si>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</si>
  <si>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</si>
  <si>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</si>
  <si>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</si>
  <si>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</si>
  <si>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</si>
  <si>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</si>
  <si>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</si>
  <si>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</si>
  <si>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</si>
  <si>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</si>
  <si>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</si>
  <si>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</si>
  <si>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</si>
  <si>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</si>
  <si>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</si>
  <si>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</si>
  <si>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</si>
  <si>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</si>
  <si>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</si>
  <si>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</si>
  <si>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</si>
  <si>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</si>
  <si>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</si>
  <si>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</si>
  <si>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</si>
  <si>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</si>
  <si>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</si>
  <si>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</si>
  <si>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</si>
  <si>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</si>
  <si>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</si>
  <si>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</si>
  <si>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</si>
  <si>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</si>
  <si>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</si>
  <si>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</si>
  <si>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</si>
  <si>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</si>
  <si>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</si>
  <si>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</si>
  <si>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</si>
  <si>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</si>
  <si>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</si>
  <si>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</si>
  <si>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</si>
  <si>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</si>
  <si>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</si>
  <si>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</si>
  <si>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</si>
  <si>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</si>
  <si>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</si>
  <si>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</si>
  <si>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</si>
  <si>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</si>
  <si>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</si>
  <si>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</si>
  <si>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</si>
  <si>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</si>
  <si>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</si>
  <si>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</si>
  <si>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</si>
  <si>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</si>
  <si>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</si>
  <si>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</si>
  <si>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</si>
  <si>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</si>
  <si>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</si>
  <si>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</si>
  <si>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</si>
  <si>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</si>
  <si>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</si>
  <si>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</si>
  <si>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</si>
  <si>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</si>
  <si>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</si>
  <si>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</si>
  <si>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</si>
  <si>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</si>
  <si>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</si>
  <si>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</si>
  <si>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</si>
  <si>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</si>
  <si>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</si>
  <si>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</si>
  <si>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</si>
  <si>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</si>
  <si>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</si>
  <si>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</si>
  <si>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</si>
  <si>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</si>
  <si>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</si>
  <si>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</si>
  <si>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</si>
  <si>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</si>
  <si>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</si>
  <si>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</si>
  <si>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</si>
  <si>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</si>
  <si>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</si>
  <si>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</si>
  <si>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</si>
  <si>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</si>
  <si>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</si>
  <si>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</si>
  <si>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</si>
  <si>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</si>
  <si>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</si>
  <si>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</si>
  <si>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</si>
  <si>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</si>
  <si>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</si>
  <si>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</si>
  <si>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</si>
  <si>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</si>
  <si>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</si>
  <si>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</si>
  <si>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</si>
  <si>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</si>
  <si>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</si>
  <si>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</si>
  <si>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</si>
  <si>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</si>
  <si>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</si>
  <si>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</si>
  <si>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</si>
  <si>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</si>
  <si>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</si>
  <si>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</si>
  <si>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</si>
  <si>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</si>
  <si>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</si>
  <si>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</si>
  <si>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</si>
  <si>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</si>
  <si>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</si>
  <si>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</si>
  <si>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</si>
  <si>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</si>
  <si>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</si>
  <si>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</si>
  <si>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</si>
  <si>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</si>
  <si>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</si>
  <si>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</si>
  <si>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</si>
  <si>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</si>
  <si>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</si>
  <si>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</si>
  <si>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</si>
  <si>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</si>
  <si>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</si>
  <si>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</si>
  <si>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</si>
  <si>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</si>
  <si>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</si>
  <si>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</si>
  <si>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</si>
  <si>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</si>
  <si>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</si>
  <si>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</si>
  <si>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</si>
  <si>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</si>
  <si>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</si>
  <si>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</si>
  <si>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</si>
  <si>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</si>
  <si>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</si>
  <si>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</si>
  <si>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</si>
  <si>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</si>
  <si>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</si>
  <si>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</si>
  <si>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</si>
  <si>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</si>
  <si>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</si>
  <si>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</si>
  <si>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</si>
  <si>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</si>
  <si>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</si>
  <si>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</si>
  <si>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</si>
  <si>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</si>
  <si>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</si>
  <si>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</si>
  <si>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</si>
  <si>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</si>
  <si>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</si>
  <si>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</si>
  <si>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</si>
  <si>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</si>
  <si>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</si>
  <si>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</si>
  <si>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</si>
  <si>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</si>
  <si>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</si>
  <si>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</si>
  <si>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</si>
  <si>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</si>
  <si>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</si>
  <si>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</si>
  <si>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</si>
  <si>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</si>
  <si>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</si>
  <si>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</si>
  <si>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</si>
  <si>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</si>
  <si>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</si>
  <si>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</si>
  <si>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</si>
  <si>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</si>
  <si>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</si>
  <si>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</si>
  <si>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</si>
  <si>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</si>
  <si>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</si>
  <si>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</si>
  <si>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</si>
  <si>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</si>
  <si>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</si>
  <si>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</si>
  <si>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</si>
  <si>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</si>
  <si>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</si>
  <si>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</si>
  <si>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</si>
  <si>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</si>
  <si>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</si>
  <si>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</si>
  <si>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</si>
  <si>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</si>
  <si>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</si>
  <si>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</si>
  <si>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</si>
  <si>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</si>
  <si>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</si>
  <si>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</si>
  <si>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</si>
  <si>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</si>
  <si>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</si>
  <si>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</si>
  <si>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</si>
  <si>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</si>
  <si>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</si>
  <si>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</si>
  <si>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</si>
  <si>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</si>
  <si>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</si>
  <si>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</si>
  <si>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</si>
  <si>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</si>
  <si>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</si>
  <si>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</si>
  <si>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</si>
  <si>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</si>
  <si>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</si>
  <si>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</si>
  <si>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</si>
  <si>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</si>
  <si>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</si>
  <si>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</si>
  <si>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</si>
  <si>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</si>
  <si>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</si>
  <si>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</si>
  <si>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</si>
  <si>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</si>
  <si>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</si>
  <si>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</si>
  <si>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</si>
  <si>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</si>
  <si>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</si>
  <si>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</si>
  <si>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</si>
  <si>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</si>
  <si>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</si>
  <si>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</si>
  <si>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</si>
  <si>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</si>
  <si>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</si>
  <si>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</si>
  <si>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</si>
  <si>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</si>
  <si>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</si>
  <si>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</si>
  <si>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</si>
  <si>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</si>
  <si>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</si>
  <si>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</si>
  <si>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</si>
  <si>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</si>
  <si>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</si>
  <si>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</si>
  <si>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</si>
  <si>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</si>
  <si>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</si>
  <si>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</si>
  <si>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</si>
  <si>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</si>
  <si>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</si>
  <si>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</si>
  <si>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</si>
  <si>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</si>
  <si>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</si>
  <si>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</si>
  <si>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</si>
  <si>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</si>
  <si>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</si>
  <si>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</si>
  <si>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</si>
  <si>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</si>
  <si>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</si>
  <si>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</si>
  <si>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</si>
  <si>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</si>
  <si>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</si>
  <si>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</si>
  <si>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</si>
  <si>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</si>
  <si>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</si>
  <si>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</si>
  <si>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</si>
  <si>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</si>
  <si>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</si>
  <si>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</si>
  <si>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</si>
  <si>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</si>
  <si>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</si>
  <si>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</si>
  <si>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</si>
  <si>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</si>
  <si>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</si>
  <si>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</si>
  <si>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</si>
  <si>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</si>
  <si>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</si>
  <si>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</si>
  <si>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</si>
  <si>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</si>
  <si>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</si>
  <si>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</si>
  <si>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</si>
  <si>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</si>
  <si>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</si>
  <si>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</si>
  <si>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</si>
  <si>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</si>
  <si>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</si>
  <si>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</si>
  <si>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</si>
  <si>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</si>
  <si>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</si>
  <si>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</si>
  <si>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</si>
  <si>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</si>
  <si>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</si>
  <si>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</si>
  <si>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</si>
  <si>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</si>
  <si>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</si>
  <si>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</si>
  <si>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</si>
  <si>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</si>
  <si>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</si>
  <si>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</si>
  <si>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</si>
  <si>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</si>
  <si>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</si>
  <si>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</si>
  <si>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</si>
  <si>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</si>
  <si>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</si>
  <si>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</si>
  <si>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</si>
  <si>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</si>
  <si>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</si>
  <si>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</si>
  <si>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</si>
  <si>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</si>
  <si>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</si>
  <si>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</si>
  <si>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</si>
  <si>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</si>
  <si>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</si>
  <si>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</si>
  <si>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</si>
  <si>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</si>
  <si>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</si>
  <si>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</si>
  <si>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</si>
  <si>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</si>
  <si>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</si>
  <si>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</si>
  <si>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</si>
  <si>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</si>
  <si>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</si>
  <si>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</si>
  <si>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</si>
  <si>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</si>
  <si>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</si>
  <si>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</si>
  <si>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</si>
  <si>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</si>
  <si>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</si>
  <si>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</si>
  <si>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</si>
  <si>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</si>
  <si>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</si>
  <si>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</si>
  <si>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</si>
  <si>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</si>
  <si>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</si>
  <si>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</si>
  <si>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</si>
  <si>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</si>
  <si>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</si>
  <si>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</si>
  <si>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</si>
  <si>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</si>
  <si>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</si>
  <si>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</si>
  <si>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</si>
  <si>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</si>
  <si>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</si>
  <si>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</si>
  <si>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</si>
  <si>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</si>
  <si>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</si>
  <si>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</si>
  <si>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</si>
  <si>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</si>
  <si>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</si>
  <si>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</si>
  <si>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</si>
  <si>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</si>
  <si>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</si>
  <si>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</si>
  <si>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</si>
  <si>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</si>
  <si>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</si>
  <si>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</si>
  <si>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</si>
  <si>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</si>
  <si>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</si>
  <si>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</si>
  <si>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</si>
  <si>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</si>
  <si>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</si>
  <si>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</si>
  <si>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</si>
  <si>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</si>
  <si>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</si>
  <si>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</si>
  <si>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</si>
  <si>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</si>
  <si>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</si>
  <si>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</si>
  <si>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</si>
  <si>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</si>
  <si>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</si>
  <si>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</si>
  <si>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</si>
  <si>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</si>
  <si>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</si>
  <si>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</si>
  <si>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</si>
  <si>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</si>
  <si>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</si>
  <si>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</si>
  <si>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</si>
  <si>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</si>
  <si>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</si>
  <si>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</si>
  <si>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</si>
  <si>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</si>
  <si>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</si>
  <si>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</si>
  <si>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</si>
  <si>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</si>
  <si>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</si>
  <si>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</si>
  <si>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</si>
  <si>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</si>
  <si>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</si>
  <si>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</si>
  <si>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</si>
  <si>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</si>
  <si>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</si>
  <si>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</si>
  <si>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</si>
  <si>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</si>
  <si>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</si>
  <si>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</si>
  <si>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</si>
  <si>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</si>
  <si>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</si>
  <si>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</si>
  <si>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</si>
  <si>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</si>
  <si>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</si>
  <si>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</si>
  <si>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</si>
  <si>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</si>
  <si>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</si>
  <si>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</si>
  <si>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</si>
  <si>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</si>
  <si>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</si>
  <si>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</si>
  <si>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</si>
  <si>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</si>
  <si>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</si>
  <si>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</si>
  <si>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</si>
  <si>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</si>
  <si>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</si>
  <si>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</si>
  <si>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</si>
  <si>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</si>
  <si>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</si>
  <si>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</si>
  <si>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</si>
  <si>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</si>
  <si>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</si>
  <si>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</si>
  <si>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</si>
  <si>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</si>
  <si>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</si>
  <si>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</si>
  <si>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</si>
  <si>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</si>
  <si>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</si>
  <si>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</si>
  <si>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</si>
  <si>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</si>
  <si>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</si>
  <si>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</si>
  <si>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</si>
  <si>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</si>
  <si>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</si>
  <si>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</si>
  <si>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</si>
  <si>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</si>
  <si>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</si>
  <si>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</si>
  <si>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</si>
  <si>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</si>
  <si>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</si>
  <si>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</si>
  <si>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</si>
  <si>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</si>
  <si>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</si>
  <si>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</si>
  <si>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</si>
  <si>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</si>
  <si>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</si>
  <si>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</si>
  <si>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</si>
  <si>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</si>
  <si>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</si>
  <si>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</si>
  <si>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</si>
  <si>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</si>
  <si>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</si>
  <si>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</si>
  <si>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</si>
  <si>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</si>
  <si>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</si>
  <si>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</si>
  <si>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</si>
  <si>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</si>
  <si>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</si>
  <si>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</si>
  <si>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</si>
  <si>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</si>
  <si>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</si>
  <si>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</si>
  <si>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</si>
  <si>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</si>
  <si>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</si>
  <si>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</si>
  <si>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</si>
  <si>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</si>
  <si>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</si>
  <si>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</si>
  <si>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</si>
  <si>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</si>
  <si>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</si>
  <si>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</si>
  <si>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</si>
  <si>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</si>
  <si>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</si>
  <si>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</si>
  <si>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</si>
  <si>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</si>
  <si>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</si>
  <si>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</si>
  <si>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</si>
  <si>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</si>
  <si>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</si>
  <si>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</si>
  <si>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</si>
  <si>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</si>
  <si>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</si>
  <si>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</si>
  <si>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</si>
  <si>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</si>
  <si>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</si>
  <si>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</si>
  <si>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</si>
  <si>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</si>
  <si>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</si>
  <si>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</si>
  <si>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</si>
  <si>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</si>
  <si>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</si>
  <si>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</si>
  <si>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</si>
  <si>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</si>
  <si>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</si>
  <si>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</si>
  <si>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</si>
  <si>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</si>
  <si>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</si>
  <si>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</si>
  <si>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</si>
  <si>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</si>
  <si>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</si>
  <si>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</si>
  <si>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</si>
  <si>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</si>
  <si>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</si>
  <si>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</si>
  <si>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</si>
  <si>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</si>
  <si>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</si>
  <si>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</si>
  <si>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</si>
  <si>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</si>
  <si>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</si>
  <si>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</si>
  <si>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</si>
  <si>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</si>
  <si>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</si>
  <si>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</si>
  <si>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</si>
  <si>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</si>
  <si>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</si>
  <si>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</si>
  <si>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</si>
  <si>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</si>
  <si>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</si>
  <si>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</si>
  <si>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</si>
  <si>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</si>
  <si>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</si>
  <si>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</si>
  <si>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</si>
  <si>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</si>
  <si>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</si>
  <si>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</si>
  <si>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</si>
  <si>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</si>
  <si>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</si>
  <si>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</si>
  <si>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</si>
  <si>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</si>
  <si>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</si>
  <si>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</si>
  <si>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</si>
  <si>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</si>
  <si>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</si>
  <si>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</si>
  <si>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</si>
  <si>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</si>
  <si>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</si>
  <si>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</si>
  <si>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</si>
  <si>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</si>
  <si>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</si>
  <si>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</si>
  <si>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</si>
  <si>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</si>
  <si>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</si>
  <si>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</si>
  <si>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</si>
  <si>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</si>
  <si>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</si>
  <si>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</si>
  <si>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</si>
  <si>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</si>
  <si>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</si>
  <si>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</si>
  <si>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</si>
  <si>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</si>
  <si>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</si>
  <si>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</si>
  <si>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</si>
  <si>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</si>
  <si>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</si>
  <si>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</si>
  <si>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</si>
  <si>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</si>
  <si>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</si>
  <si>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</si>
  <si>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</si>
  <si>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</si>
  <si>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</si>
  <si>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</si>
  <si>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</si>
  <si>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</si>
  <si>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</si>
  <si>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</si>
  <si>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</si>
  <si>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</si>
  <si>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</si>
  <si>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</si>
  <si>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</si>
  <si>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</si>
  <si>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</si>
  <si>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</si>
  <si>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</si>
  <si>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</si>
  <si>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</si>
  <si>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</si>
  <si>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</si>
  <si>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</si>
  <si>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</si>
  <si>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</si>
  <si>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</si>
  <si>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</si>
  <si>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</si>
  <si>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</si>
  <si>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</si>
  <si>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</si>
  <si>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</si>
  <si>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</si>
  <si>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</si>
  <si>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</si>
  <si>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</si>
  <si>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</si>
  <si>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</si>
  <si>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</si>
  <si>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</si>
  <si>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</si>
  <si>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</si>
  <si>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</si>
  <si>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</si>
  <si>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</si>
  <si>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</si>
  <si>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</si>
  <si>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</si>
  <si>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</si>
  <si>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</si>
  <si>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</si>
  <si>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</si>
  <si>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</si>
  <si>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</si>
  <si>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</si>
  <si>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</si>
  <si>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</si>
  <si>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</si>
  <si>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</si>
  <si>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</si>
  <si>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</si>
  <si>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</si>
  <si>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</si>
  <si>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</si>
  <si>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</si>
  <si>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</si>
  <si>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</si>
  <si>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</si>
  <si>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</si>
  <si>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</si>
  <si>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</si>
  <si>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</si>
  <si>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</si>
  <si>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</si>
  <si>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</si>
  <si>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</si>
  <si>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</si>
  <si>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</si>
  <si>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</si>
  <si>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</si>
  <si>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</si>
  <si>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</si>
  <si>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</si>
  <si>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</si>
  <si>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</si>
  <si>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</si>
  <si>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</si>
  <si>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</si>
  <si>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</si>
  <si>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</si>
  <si>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</si>
  <si>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</si>
  <si>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</si>
  <si>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</si>
  <si>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</si>
  <si>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</si>
  <si>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</si>
  <si>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</si>
  <si>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</si>
  <si>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</si>
  <si>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</si>
  <si>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</si>
  <si>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</si>
  <si>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</si>
  <si>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</si>
  <si>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</si>
  <si>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</si>
  <si>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</si>
  <si>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</si>
  <si>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</si>
  <si>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</si>
  <si>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</si>
  <si>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</si>
  <si>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</si>
  <si>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</si>
  <si>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</si>
  <si>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</si>
  <si>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</si>
  <si>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</si>
  <si>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</si>
  <si>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</si>
  <si>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</si>
  <si>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</si>
  <si>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</si>
  <si>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</si>
  <si>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</si>
  <si>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</si>
  <si>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</si>
  <si>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</si>
  <si>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</si>
  <si>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</si>
  <si>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</si>
  <si>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</si>
  <si>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</si>
  <si>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</si>
  <si>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</si>
  <si>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</si>
  <si>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</si>
  <si>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</si>
  <si>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</si>
  <si>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</si>
  <si>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</si>
  <si>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</si>
  <si>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</si>
  <si>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</si>
  <si>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</si>
  <si>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</si>
  <si>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</si>
  <si>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</si>
  <si>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</si>
  <si>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</si>
  <si>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</si>
  <si>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</si>
  <si>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</si>
  <si>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</si>
  <si>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</si>
  <si>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</si>
  <si>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</si>
  <si>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</si>
  <si>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</si>
  <si>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</si>
  <si>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</si>
  <si>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</si>
  <si>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</si>
  <si>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</si>
  <si>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</si>
  <si>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</si>
  <si>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</si>
  <si>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</si>
  <si>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</si>
  <si>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</si>
  <si>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</si>
  <si>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</si>
  <si>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</si>
  <si>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</si>
  <si>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</si>
  <si>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</si>
  <si>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</si>
  <si>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</si>
  <si>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</si>
  <si>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</si>
  <si>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</si>
  <si>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</si>
  <si>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</si>
  <si>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</si>
  <si>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</si>
  <si>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</si>
  <si>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</si>
  <si>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</si>
  <si>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</si>
  <si>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</si>
  <si>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</si>
  <si>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</si>
  <si>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</si>
  <si>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</si>
  <si>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</si>
  <si>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</si>
  <si>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</si>
  <si>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</si>
  <si>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</si>
  <si>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</si>
  <si>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</si>
  <si>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</si>
  <si>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</si>
  <si>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</si>
  <si>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</si>
  <si>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</si>
  <si>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</si>
  <si>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</si>
  <si>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</si>
  <si>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</si>
  <si>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</si>
  <si>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</si>
  <si>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</si>
  <si>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</si>
  <si>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</si>
  <si>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</si>
  <si>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</si>
  <si>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</si>
  <si>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</si>
  <si>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</si>
  <si>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</si>
  <si>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</si>
  <si>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</si>
  <si>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</si>
  <si>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</si>
  <si>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</si>
  <si>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</si>
  <si>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</si>
  <si>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</si>
  <si>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</si>
  <si>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</si>
  <si>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</si>
  <si>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</si>
  <si>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</si>
  <si>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</si>
  <si>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</si>
  <si>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</si>
  <si>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</si>
  <si>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</si>
  <si>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</si>
  <si>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</si>
  <si>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</si>
  <si>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</si>
  <si>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</si>
  <si>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</si>
  <si>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</si>
  <si>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</si>
  <si>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</si>
  <si>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</si>
  <si>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</si>
  <si>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</si>
  <si>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</si>
  <si>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</si>
  <si>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</si>
  <si>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</si>
  <si>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</si>
  <si>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</si>
  <si>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</si>
  <si>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</si>
  <si>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</si>
  <si>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</si>
  <si>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</si>
  <si>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</si>
  <si>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</si>
  <si>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</si>
  <si>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</si>
  <si>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</si>
  <si>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</si>
  <si>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</si>
  <si>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</si>
  <si>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</si>
  <si>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</si>
  <si>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</si>
  <si>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</si>
  <si>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</si>
  <si>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</si>
  <si>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</si>
  <si>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</si>
  <si>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</si>
  <si>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</si>
  <si>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</si>
  <si>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</si>
  <si>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</si>
  <si>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</si>
  <si>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</si>
  <si>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</si>
  <si>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</si>
  <si>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</si>
  <si>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</si>
  <si>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</si>
  <si>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</si>
  <si>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</si>
  <si>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</si>
  <si>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</si>
  <si>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</si>
  <si>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</si>
  <si>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</si>
  <si>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</si>
  <si>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</si>
  <si>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</si>
  <si>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</si>
  <si>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</si>
  <si>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</si>
  <si>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</si>
  <si>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</si>
  <si>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</si>
  <si>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</si>
  <si>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</si>
  <si>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</si>
  <si>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</si>
  <si>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</si>
  <si>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</si>
  <si>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</si>
  <si>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</si>
  <si>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</si>
  <si>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</si>
  <si>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</si>
  <si>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</si>
  <si>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</si>
  <si>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</si>
  <si>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</si>
  <si>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</si>
  <si>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</si>
  <si>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</si>
  <si>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</si>
  <si>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</si>
  <si>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</si>
  <si>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</si>
  <si>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</si>
  <si>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</si>
  <si>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</si>
  <si>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</si>
  <si>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</si>
  <si>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</si>
  <si>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</si>
  <si>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</si>
  <si>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</si>
  <si>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</si>
  <si>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</si>
  <si>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</si>
  <si>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</si>
  <si>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</si>
  <si>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</si>
  <si>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</si>
  <si>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</si>
  <si>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</si>
  <si>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</si>
  <si>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</si>
  <si>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</si>
  <si>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</si>
  <si>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</si>
  <si>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</si>
  <si>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</si>
  <si>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</si>
  <si>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</si>
  <si>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</si>
  <si>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</si>
  <si>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</si>
  <si>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</si>
  <si>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</si>
  <si>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</si>
  <si>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</si>
  <si>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</si>
  <si>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</si>
  <si>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</si>
  <si>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</si>
  <si>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</si>
  <si>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</si>
  <si>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</si>
  <si>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</si>
  <si>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</si>
  <si>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</si>
  <si>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</si>
  <si>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</si>
  <si>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</si>
  <si>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</si>
  <si>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</si>
  <si>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</si>
  <si>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</si>
  <si>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</si>
  <si>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</si>
  <si>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</si>
  <si>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</si>
  <si>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</si>
  <si>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</si>
  <si>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</si>
  <si>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</si>
  <si>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</si>
  <si>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</si>
  <si>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</si>
  <si>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</si>
  <si>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</si>
  <si>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</si>
  <si>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</si>
  <si>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</si>
  <si>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</si>
  <si>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</si>
  <si>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</si>
  <si>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</si>
  <si>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</si>
  <si>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</si>
  <si>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</si>
  <si>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</si>
  <si>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</si>
  <si>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</si>
  <si>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</si>
  <si>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</si>
  <si>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</si>
  <si>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</si>
  <si>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</si>
  <si>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</si>
  <si>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</si>
  <si>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</si>
  <si>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</si>
  <si>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</si>
  <si>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</si>
  <si>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</si>
  <si>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</si>
  <si>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</si>
  <si>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</si>
  <si>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</si>
  <si>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</si>
  <si>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</si>
  <si>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</si>
  <si>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</si>
  <si>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</si>
  <si>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</si>
  <si>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</si>
  <si>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</si>
  <si>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</si>
  <si>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</si>
  <si>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</si>
  <si>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</si>
  <si>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</si>
  <si>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</si>
  <si>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</si>
  <si>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</si>
  <si>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</si>
  <si>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</si>
  <si>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</si>
  <si>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</si>
  <si>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</si>
  <si>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</si>
  <si>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</si>
  <si>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</si>
  <si>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</si>
  <si>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</si>
  <si>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</si>
  <si>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</si>
  <si>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</si>
  <si>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</si>
  <si>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</si>
  <si>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</si>
  <si>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</si>
  <si>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</si>
  <si>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</si>
  <si>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</si>
  <si>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</si>
  <si>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</si>
  <si>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</si>
  <si>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</si>
  <si>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</si>
  <si>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</si>
  <si>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</si>
  <si>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</si>
  <si>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</si>
  <si>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</si>
  <si>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</si>
  <si>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</si>
  <si>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</si>
  <si>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</si>
  <si>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</si>
  <si>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</si>
  <si>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</si>
  <si>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</si>
  <si>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</si>
  <si>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</si>
  <si>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</si>
  <si>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</si>
  <si>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</si>
  <si>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</si>
  <si>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</si>
  <si>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</si>
  <si>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</si>
  <si>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</si>
  <si>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</si>
  <si>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</si>
  <si>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</si>
  <si>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</si>
  <si>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</si>
  <si>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</si>
  <si>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</si>
  <si>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</si>
  <si>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</si>
  <si>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</si>
  <si>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</si>
  <si>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</si>
  <si>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</si>
  <si>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</si>
  <si>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</si>
  <si>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</si>
  <si>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</si>
  <si>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</si>
  <si>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</si>
  <si>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</si>
  <si>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</si>
  <si>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</si>
  <si>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</si>
  <si>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</si>
  <si>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</si>
  <si>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</si>
  <si>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</si>
  <si>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</si>
  <si>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</si>
  <si>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</si>
  <si>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</si>
  <si>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</si>
  <si>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</si>
  <si>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</si>
  <si>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</si>
  <si>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</si>
  <si>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</si>
  <si>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</si>
  <si>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</si>
  <si>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</si>
  <si>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</si>
  <si>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</si>
  <si>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</si>
  <si>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</si>
  <si>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</si>
  <si>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</si>
  <si>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</si>
  <si>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</si>
  <si>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</si>
  <si>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</si>
  <si>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</si>
  <si>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</si>
  <si>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</si>
  <si>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</si>
  <si>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</si>
  <si>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</si>
  <si>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</si>
  <si>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</si>
  <si>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</si>
  <si>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</si>
  <si>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</si>
  <si>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</si>
  <si>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</si>
  <si>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</si>
  <si>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</si>
  <si>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</si>
  <si>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</si>
  <si>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</si>
  <si>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</si>
  <si>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</si>
  <si>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</si>
  <si>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</si>
  <si>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</si>
  <si>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</si>
  <si>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</si>
  <si>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</si>
  <si>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</si>
  <si>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</si>
  <si>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</si>
  <si>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</si>
  <si>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</si>
  <si>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</si>
  <si>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</si>
  <si>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</si>
  <si>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</si>
  <si>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</si>
  <si>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</si>
  <si>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</si>
  <si>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</si>
  <si>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</si>
  <si>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</si>
  <si>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</si>
  <si>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</si>
  <si>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</si>
  <si>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</si>
  <si>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</si>
  <si>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</si>
  <si>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</si>
  <si>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</si>
  <si>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</si>
  <si>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</si>
  <si>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</si>
  <si>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</si>
  <si>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</si>
  <si>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</si>
  <si>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</si>
  <si>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</si>
  <si>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</si>
  <si>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</si>
  <si>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</si>
  <si>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</si>
  <si>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</si>
  <si>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</si>
  <si>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</si>
  <si>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</si>
  <si>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</si>
  <si>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</si>
  <si>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</si>
  <si>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</si>
  <si>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</si>
  <si>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</si>
  <si>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</si>
  <si>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</si>
  <si>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</si>
  <si>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</si>
  <si>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</si>
  <si>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</si>
  <si>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</si>
  <si>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</si>
  <si>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</si>
  <si>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</si>
  <si>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</si>
  <si>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</si>
  <si>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</si>
  <si>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</si>
  <si>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</si>
  <si>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</si>
  <si>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</si>
  <si>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</si>
  <si>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</si>
  <si>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</si>
  <si>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</si>
  <si>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</si>
  <si>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</si>
  <si>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</si>
  <si>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</si>
  <si>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</si>
  <si>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</si>
  <si>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</si>
  <si>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</si>
  <si>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</si>
  <si>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</si>
  <si>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</si>
  <si>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</si>
  <si>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</si>
  <si>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</si>
  <si>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</si>
  <si>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</si>
  <si>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</si>
  <si>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</si>
  <si>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</si>
  <si>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</si>
  <si>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</si>
  <si>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</si>
  <si>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</si>
  <si>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</si>
  <si>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</si>
  <si>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</si>
  <si>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</si>
  <si>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</si>
  <si>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</si>
  <si>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</si>
  <si>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</si>
  <si>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</si>
  <si>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</si>
  <si>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</si>
  <si>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</si>
  <si>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</si>
  <si>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</si>
  <si>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</si>
  <si>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</si>
  <si>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</si>
  <si>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</si>
  <si>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</si>
  <si>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</si>
  <si>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</si>
  <si>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</si>
  <si>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</si>
  <si>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</si>
  <si>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</si>
  <si>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</si>
  <si>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</si>
  <si>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</si>
  <si>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</si>
  <si>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</si>
  <si>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</si>
  <si>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</si>
  <si>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</si>
  <si>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</si>
  <si>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</si>
  <si>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</si>
  <si>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</si>
  <si>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</si>
  <si>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</si>
  <si>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</si>
  <si>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</si>
  <si>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</si>
  <si>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</si>
  <si>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</si>
  <si>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</si>
  <si>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</si>
  <si>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</si>
  <si>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</si>
  <si>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</si>
  <si>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</si>
  <si>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</si>
  <si>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</si>
  <si>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</si>
  <si>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</si>
  <si>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</si>
  <si>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</si>
  <si>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</si>
  <si>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</si>
  <si>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</si>
  <si>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</si>
  <si>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</si>
  <si>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</si>
  <si>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</si>
  <si>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</si>
  <si>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</si>
  <si>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</si>
  <si>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</si>
  <si>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</si>
  <si>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</si>
  <si>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</si>
  <si>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</si>
  <si>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</si>
  <si>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</si>
  <si>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</si>
  <si>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</si>
  <si>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</si>
  <si>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</si>
  <si>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</si>
  <si>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</si>
  <si>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</si>
  <si>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</si>
  <si>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</si>
  <si>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</si>
  <si>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</si>
  <si>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</si>
  <si>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</si>
  <si>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</si>
  <si>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</si>
  <si>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</si>
  <si>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</si>
  <si>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</si>
  <si>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</si>
  <si>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</si>
  <si>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</si>
  <si>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</si>
  <si>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</si>
  <si>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</si>
  <si>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</si>
  <si>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</si>
  <si>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</si>
  <si>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</si>
  <si>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</si>
  <si>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</si>
  <si>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</si>
  <si>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</si>
  <si>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</si>
  <si>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</si>
  <si>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</si>
  <si>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</si>
  <si>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</si>
  <si>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</si>
  <si>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</si>
  <si>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</si>
  <si>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</si>
  <si>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</si>
  <si>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</si>
  <si>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</si>
  <si>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</si>
  <si>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</si>
  <si>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</si>
  <si>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</si>
  <si>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</si>
  <si>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</si>
  <si>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</si>
  <si>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</si>
  <si>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</si>
  <si>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</si>
  <si>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</si>
  <si>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</si>
  <si>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</si>
  <si>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</si>
  <si>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</si>
  <si>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</si>
  <si>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</si>
  <si>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</si>
  <si>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</si>
  <si>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</si>
  <si>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</si>
  <si>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</si>
  <si>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</si>
  <si>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</si>
  <si>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</si>
  <si>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</si>
  <si>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</si>
  <si>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</si>
  <si>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</si>
  <si>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</si>
  <si>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</si>
  <si>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</si>
  <si>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</si>
  <si>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</si>
  <si>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</si>
  <si>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</si>
  <si>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</si>
  <si>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</si>
  <si>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</si>
  <si>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</si>
  <si>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</si>
  <si>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</si>
  <si>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</si>
  <si>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</si>
  <si>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</si>
  <si>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</si>
  <si>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</si>
  <si>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</si>
  <si>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</si>
  <si>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</si>
  <si>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</si>
  <si>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</si>
  <si>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</si>
  <si>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</si>
  <si>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</si>
  <si>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</si>
  <si>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</si>
  <si>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</si>
  <si>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</si>
  <si>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</si>
  <si>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</si>
  <si>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</si>
  <si>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</si>
  <si>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</si>
  <si>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</si>
  <si>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</si>
  <si>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</si>
  <si>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</si>
  <si>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</si>
  <si>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</si>
  <si>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</si>
  <si>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</si>
  <si>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</si>
  <si>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</si>
  <si>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</si>
  <si>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</si>
  <si>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</si>
  <si>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</si>
  <si>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</si>
  <si>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</si>
  <si>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</si>
  <si>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</si>
  <si>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</si>
  <si>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</si>
  <si>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</si>
  <si>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</si>
  <si>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</si>
  <si>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</si>
  <si>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</si>
  <si>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</si>
  <si>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</si>
  <si>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</si>
  <si>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</si>
  <si>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</si>
  <si>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</si>
  <si>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</si>
  <si>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</si>
  <si>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</si>
  <si>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</si>
  <si>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</si>
  <si>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</si>
  <si>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</si>
  <si>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</si>
  <si>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</si>
  <si>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</si>
  <si>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</si>
  <si>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</si>
  <si>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</si>
  <si>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</si>
  <si>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</si>
  <si>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</si>
  <si>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</si>
  <si>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</si>
  <si>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</si>
  <si>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</si>
  <si>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</si>
  <si>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</si>
  <si>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</si>
  <si>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</si>
  <si>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</si>
  <si>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</si>
  <si>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</si>
  <si>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</si>
  <si>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</si>
  <si>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</si>
  <si>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</si>
  <si>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</si>
  <si>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</si>
  <si>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</si>
  <si>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</si>
  <si>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</si>
  <si>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</si>
  <si>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</si>
  <si>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</si>
  <si>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</si>
  <si>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</si>
  <si>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</si>
  <si>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</si>
  <si>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</si>
  <si>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</si>
  <si>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</si>
  <si>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</si>
  <si>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</si>
  <si>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</si>
  <si>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</si>
  <si>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</si>
  <si>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</si>
  <si>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</si>
  <si>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</si>
  <si>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</si>
  <si>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</si>
  <si>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</si>
  <si>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</si>
  <si>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</si>
  <si>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</si>
  <si>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</si>
  <si>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</si>
  <si>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</si>
  <si>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</si>
  <si>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</si>
  <si>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</si>
  <si>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</si>
  <si>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</si>
  <si>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</si>
  <si>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</si>
  <si>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</si>
  <si>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</si>
  <si>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</si>
  <si>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</si>
  <si>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</si>
  <si>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</si>
  <si>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</si>
  <si>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</si>
  <si>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</si>
  <si>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</si>
  <si>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</si>
  <si>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</si>
  <si>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</si>
  <si>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</si>
  <si>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</si>
  <si>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</si>
  <si>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</si>
  <si>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</si>
  <si>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</si>
  <si>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</si>
  <si>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</si>
  <si>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</si>
  <si>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</si>
  <si>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</si>
  <si>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</si>
  <si>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</si>
  <si>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</si>
  <si>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</si>
  <si>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</si>
  <si>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</si>
  <si>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</si>
  <si>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</si>
  <si>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</si>
  <si>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</si>
  <si>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</si>
  <si>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</si>
  <si>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</si>
  <si>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</si>
  <si>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</si>
  <si>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</si>
  <si>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</si>
  <si>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</si>
  <si>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</si>
  <si>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</si>
  <si>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</si>
  <si>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</si>
  <si>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</si>
  <si>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</si>
  <si>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</si>
  <si>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</si>
  <si>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</si>
  <si>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</si>
  <si>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</si>
  <si>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</si>
  <si>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</si>
  <si>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</si>
  <si>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</si>
  <si>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</si>
  <si>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</si>
  <si>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</si>
  <si>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</si>
  <si>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</si>
  <si>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</si>
  <si>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</si>
  <si>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</si>
  <si>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</si>
  <si>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</si>
  <si>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</si>
  <si>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</si>
  <si>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</si>
  <si>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</si>
  <si>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</si>
  <si>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</si>
  <si>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</si>
  <si>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</si>
  <si>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</si>
  <si>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</si>
  <si>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</si>
  <si>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</si>
  <si>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</si>
  <si>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</si>
  <si>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</si>
  <si>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</si>
  <si>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</si>
  <si>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</si>
  <si>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</si>
  <si>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</si>
  <si>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</si>
  <si>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</si>
  <si>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</si>
  <si>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</si>
  <si>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</si>
  <si>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</si>
  <si>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</si>
  <si>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</si>
  <si>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</si>
  <si>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</si>
  <si>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</si>
  <si>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</si>
  <si>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</si>
  <si>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</si>
  <si>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</si>
  <si>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</si>
  <si>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</si>
  <si>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</si>
  <si>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</si>
  <si>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</si>
  <si>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</si>
  <si>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</si>
  <si>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</si>
  <si>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</si>
  <si>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</si>
  <si>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</si>
  <si>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</si>
  <si>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</si>
  <si>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</si>
  <si>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</si>
  <si>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</si>
  <si>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</si>
  <si>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</si>
  <si>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</si>
  <si>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</si>
  <si>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</si>
  <si>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</si>
  <si>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</si>
  <si>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</si>
  <si>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</si>
  <si>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</si>
  <si>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</si>
  <si>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</si>
  <si>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</si>
  <si>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</si>
  <si>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</si>
  <si>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</si>
  <si>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</si>
  <si>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</si>
  <si>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</si>
  <si>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</si>
  <si>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</si>
  <si>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</si>
  <si>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</si>
  <si>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</si>
  <si>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</si>
  <si>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</si>
  <si>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</si>
  <si>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</si>
  <si>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</si>
  <si>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</si>
  <si>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</si>
  <si>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</si>
  <si>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</si>
  <si>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</si>
  <si>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</si>
  <si>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</si>
  <si>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</si>
  <si>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</si>
  <si>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</si>
  <si>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</si>
  <si>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</si>
  <si>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</si>
  <si>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</si>
  <si>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</si>
  <si>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</si>
  <si>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</si>
  <si>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</si>
  <si>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</si>
  <si>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</si>
  <si>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</si>
  <si>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</si>
  <si>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</si>
  <si>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</si>
  <si>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</si>
  <si>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</si>
  <si>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</si>
  <si>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</si>
  <si>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</si>
  <si>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</si>
  <si>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</si>
  <si>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</si>
  <si>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</si>
  <si>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</si>
  <si>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</si>
  <si>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</si>
  <si>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</si>
  <si>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</si>
  <si>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</si>
  <si>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</si>
  <si>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</si>
  <si>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</si>
  <si>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</si>
  <si>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</si>
  <si>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</si>
  <si>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</si>
  <si>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</si>
  <si>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</si>
  <si>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</si>
  <si>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</si>
  <si>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</si>
  <si>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</si>
  <si>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</si>
  <si>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</si>
  <si>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</si>
  <si>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</si>
  <si>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</si>
  <si>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</si>
  <si>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</si>
  <si>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</si>
  <si>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</si>
  <si>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</si>
  <si>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</si>
  <si>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</si>
  <si>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</si>
  <si>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</si>
  <si>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</si>
  <si>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</si>
  <si>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</si>
  <si>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</si>
  <si>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</si>
  <si>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</si>
  <si>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</si>
  <si>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</si>
  <si>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</si>
  <si>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</si>
  <si>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</si>
  <si>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</si>
  <si>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</si>
  <si>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</si>
  <si>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</si>
  <si>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</si>
  <si>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</si>
  <si>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</si>
  <si>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</si>
  <si>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</si>
  <si>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</si>
  <si>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</si>
  <si>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</si>
  <si>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</si>
  <si>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</si>
  <si>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</si>
  <si>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</si>
  <si>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</si>
  <si>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</si>
  <si>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</si>
  <si>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</si>
  <si>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</si>
  <si>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</si>
  <si>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</si>
  <si>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</si>
  <si>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</si>
  <si>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</si>
  <si>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</si>
  <si>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</si>
  <si>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</si>
  <si>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</si>
  <si>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</si>
  <si>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</si>
  <si>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</si>
  <si>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</si>
  <si>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</si>
  <si>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</si>
  <si>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</si>
  <si>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</si>
  <si>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</si>
  <si>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</si>
  <si>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</si>
  <si>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</si>
  <si>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</si>
  <si>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</si>
  <si>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</si>
  <si>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</si>
  <si>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</si>
  <si>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</si>
  <si>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</si>
  <si>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</si>
  <si>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</si>
  <si>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</si>
  <si>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</si>
  <si>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</si>
  <si>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</si>
  <si>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</si>
  <si>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</si>
  <si>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</si>
  <si>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</si>
  <si>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</si>
  <si>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</si>
  <si>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</si>
  <si>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</si>
  <si>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</si>
  <si>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</si>
  <si>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</si>
  <si>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</si>
  <si>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</si>
  <si>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</si>
  <si>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</si>
  <si>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</si>
  <si>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</si>
  <si>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</si>
  <si>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</si>
  <si>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</si>
  <si>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</si>
  <si>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</si>
  <si>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</si>
  <si>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</si>
  <si>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</si>
  <si>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</si>
  <si>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</si>
  <si>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</si>
  <si>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</si>
  <si>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</si>
  <si>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</si>
  <si>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</si>
  <si>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</si>
  <si>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</si>
  <si>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</si>
  <si>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</si>
  <si>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</si>
  <si>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</si>
  <si>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</si>
  <si>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</si>
  <si>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</si>
  <si>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</si>
  <si>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</si>
  <si>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</si>
  <si>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</si>
  <si>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</si>
  <si>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</si>
  <si>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</si>
  <si>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</si>
  <si>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</si>
  <si>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</si>
  <si>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</si>
  <si>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</si>
  <si>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</si>
  <si>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</si>
  <si>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</si>
  <si>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</si>
  <si>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</si>
  <si>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</si>
  <si>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</si>
  <si>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</si>
  <si>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</si>
  <si>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</si>
  <si>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</si>
  <si>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</si>
  <si>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</si>
  <si>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</si>
  <si>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</si>
  <si>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</si>
  <si>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</si>
  <si>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</si>
  <si>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</si>
  <si>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</si>
  <si>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</si>
  <si>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</si>
  <si>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</si>
  <si>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</si>
  <si>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</si>
  <si>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</si>
  <si>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</si>
  <si>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</si>
  <si>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</si>
  <si>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</si>
  <si>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</si>
  <si>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</si>
  <si>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</si>
  <si>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</si>
  <si>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</si>
  <si>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</si>
  <si>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</si>
  <si>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</si>
  <si>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</si>
  <si>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</si>
  <si>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</si>
  <si>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</si>
  <si>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</si>
  <si>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</si>
  <si>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</si>
  <si>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</si>
  <si>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</si>
  <si>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</si>
  <si>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</si>
  <si>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</si>
  <si>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</si>
  <si>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</si>
  <si>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</si>
  <si>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</si>
  <si>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</si>
  <si>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</si>
  <si>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</si>
  <si>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</si>
  <si>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</si>
  <si>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</si>
  <si>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</si>
  <si>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</si>
  <si>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</si>
  <si>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</si>
  <si>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</si>
  <si>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</si>
  <si>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</si>
  <si>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</si>
  <si>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</si>
  <si>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</si>
  <si>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</si>
  <si>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</si>
  <si>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</si>
  <si>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</si>
  <si>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</si>
  <si>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</si>
  <si>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</si>
  <si>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</si>
  <si>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</si>
  <si>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</si>
  <si>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</si>
  <si>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</si>
  <si>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</si>
  <si>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</si>
  <si>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</si>
  <si>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</si>
  <si>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</si>
  <si>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</si>
  <si>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</si>
  <si>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</si>
  <si>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</si>
  <si>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</si>
  <si>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</si>
  <si>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</si>
  <si>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</si>
  <si>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</si>
  <si>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</si>
  <si>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</si>
  <si>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</si>
  <si>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</si>
  <si>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</si>
  <si>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</si>
  <si>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</si>
  <si>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</si>
  <si>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</si>
  <si>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</si>
  <si>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</si>
  <si>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</si>
  <si>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</si>
  <si>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</si>
  <si>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</si>
  <si>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</si>
  <si>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</si>
  <si>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</si>
  <si>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</si>
  <si>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</si>
  <si>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</si>
  <si>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</si>
  <si>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</si>
  <si>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</si>
  <si>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</si>
  <si>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</si>
  <si>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</si>
  <si>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</si>
  <si>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</si>
  <si>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</si>
  <si>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</si>
  <si>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</si>
  <si>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</si>
  <si>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</si>
  <si>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</si>
  <si>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</si>
  <si>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</si>
  <si>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</si>
  <si>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</si>
  <si>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</si>
  <si>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</si>
  <si>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</si>
  <si>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</si>
  <si>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</si>
  <si>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</si>
  <si>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</si>
  <si>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</si>
  <si>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</si>
  <si>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</si>
  <si>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</si>
  <si>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</si>
  <si>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</si>
  <si>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</si>
  <si>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</si>
  <si>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</si>
  <si>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</si>
  <si>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</si>
  <si>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</si>
  <si>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</si>
  <si>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</si>
  <si>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</si>
  <si>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</si>
  <si>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</si>
  <si>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</si>
  <si>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</si>
  <si>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</si>
  <si>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</si>
  <si>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</si>
  <si>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</si>
  <si>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</si>
  <si>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</si>
  <si>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</si>
  <si>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</si>
  <si>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</si>
  <si>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</si>
  <si>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</si>
  <si>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</si>
  <si>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</si>
  <si>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</si>
  <si>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</si>
  <si>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</si>
  <si>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</si>
  <si>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</si>
  <si>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</si>
  <si>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</si>
  <si>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</si>
  <si>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</si>
  <si>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</si>
  <si>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</si>
  <si>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</si>
  <si>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</si>
  <si>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</si>
  <si>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</si>
  <si>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</si>
  <si>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</si>
  <si>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</si>
  <si>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</si>
  <si>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</si>
  <si>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</si>
  <si>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</si>
  <si>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</si>
  <si>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</si>
  <si>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</si>
  <si>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</si>
  <si>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</si>
  <si>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</si>
  <si>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</si>
  <si>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</si>
  <si>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</si>
  <si>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</si>
  <si>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</si>
  <si>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</si>
  <si>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</si>
  <si>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</si>
  <si>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</si>
  <si>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</si>
  <si>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</si>
  <si>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</si>
  <si>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</si>
  <si>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</si>
  <si>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</si>
  <si>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</si>
  <si>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</si>
  <si>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</si>
  <si>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</si>
  <si>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</si>
  <si>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</si>
  <si>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</si>
  <si>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</si>
  <si>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</si>
  <si>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</si>
  <si>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</si>
  <si>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</si>
  <si>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</si>
  <si>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</si>
  <si>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</si>
  <si>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</si>
  <si>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</si>
  <si>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</si>
  <si>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</si>
  <si>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</si>
  <si>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</si>
  <si>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</si>
  <si>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</si>
  <si>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</si>
  <si>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</si>
  <si>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</si>
  <si>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</si>
  <si>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</si>
  <si>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</si>
  <si>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</si>
  <si>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</si>
  <si>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</si>
  <si>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</si>
  <si>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</si>
  <si>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</si>
  <si>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</si>
  <si>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</si>
  <si>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</si>
  <si>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</si>
  <si>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</si>
  <si>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</si>
  <si>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</si>
  <si>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</si>
  <si>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</si>
  <si>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</si>
  <si>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</si>
  <si>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</si>
  <si>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</si>
  <si>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</si>
  <si>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</si>
  <si>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</si>
  <si>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</si>
  <si>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</si>
  <si>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</si>
  <si>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</si>
  <si>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</si>
  <si>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</si>
  <si>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</si>
  <si>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</si>
  <si>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</si>
  <si>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</si>
  <si>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</si>
  <si>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</si>
  <si>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</si>
  <si>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</si>
  <si>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</si>
  <si>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</si>
  <si>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</si>
  <si>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</si>
  <si>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</si>
  <si>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</si>
  <si>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</si>
  <si>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</si>
  <si>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</si>
  <si>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</si>
  <si>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</si>
  <si>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</si>
  <si>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</si>
  <si>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</si>
  <si>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</si>
  <si>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</si>
  <si>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</si>
  <si>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</si>
  <si>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</si>
  <si>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</si>
  <si>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</si>
  <si>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</si>
  <si>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</si>
  <si>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</si>
  <si>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</si>
  <si>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</si>
  <si>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</si>
  <si>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</si>
  <si>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</si>
  <si>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</si>
  <si>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</si>
  <si>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</si>
  <si>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</si>
  <si>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</si>
  <si>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</si>
  <si>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</si>
  <si>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</si>
  <si>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</si>
  <si>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</si>
  <si>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</si>
  <si>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</si>
  <si>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</si>
  <si>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</si>
  <si>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</si>
  <si>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</si>
  <si>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</si>
  <si>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</si>
  <si>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</si>
  <si>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</si>
  <si>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</si>
  <si>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</si>
  <si>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</si>
  <si>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</si>
  <si>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</si>
  <si>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</si>
  <si>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</si>
  <si>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</si>
  <si>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</si>
  <si>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</si>
  <si>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</si>
  <si>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</si>
  <si>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</si>
  <si>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</si>
  <si>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</si>
  <si>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</si>
  <si>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</si>
  <si>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</si>
  <si>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</si>
  <si>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</si>
  <si>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</si>
  <si>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</si>
  <si>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</si>
  <si>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</si>
  <si>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</si>
  <si>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</si>
  <si>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</si>
  <si>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</si>
  <si>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</si>
  <si>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</si>
  <si>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</si>
  <si>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</si>
  <si>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</si>
  <si>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</si>
  <si>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</si>
  <si>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</si>
  <si>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</si>
  <si>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</si>
  <si>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</si>
  <si>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</si>
  <si>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</si>
  <si>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</si>
  <si>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</si>
  <si>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</si>
  <si>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</si>
  <si>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</si>
  <si>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</si>
  <si>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</si>
  <si>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</si>
  <si>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</si>
  <si>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</si>
  <si>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</si>
  <si>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</si>
  <si>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</si>
  <si>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</si>
  <si>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</si>
  <si>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</si>
  <si>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</si>
  <si>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</si>
  <si>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</si>
  <si>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</si>
  <si>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</si>
  <si>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</si>
  <si>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</si>
  <si>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</si>
  <si>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</si>
  <si>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</si>
  <si>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</si>
  <si>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</si>
  <si>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</si>
  <si>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</si>
  <si>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</si>
  <si>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</si>
  <si>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</si>
  <si>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</si>
  <si>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</si>
  <si>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</si>
  <si>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</si>
  <si>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</si>
  <si>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</si>
  <si>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</si>
  <si>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</si>
  <si>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</si>
  <si>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</si>
  <si>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</si>
  <si>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</si>
  <si>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</si>
  <si>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</si>
  <si>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</si>
  <si>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</si>
  <si>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</si>
  <si>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</si>
  <si>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</si>
  <si>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</si>
  <si>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</si>
  <si>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</si>
  <si>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</si>
  <si>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</si>
  <si>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</si>
  <si>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</si>
  <si>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</si>
  <si>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</si>
  <si>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</si>
  <si>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</si>
  <si>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</si>
  <si>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</si>
  <si>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</si>
  <si>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</si>
  <si>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</si>
  <si>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</si>
  <si>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</si>
  <si>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</si>
  <si>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</si>
  <si>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</si>
  <si>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</si>
  <si>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</si>
  <si>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</si>
  <si>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</si>
  <si>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</si>
  <si>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</si>
  <si>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</si>
  <si>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</si>
  <si>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</si>
  <si>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</si>
  <si>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</si>
  <si>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</si>
  <si>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</si>
  <si>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</si>
  <si>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</si>
  <si>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</si>
  <si>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</si>
  <si>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</si>
  <si>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</si>
  <si>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</si>
  <si>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</si>
  <si>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</si>
  <si>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</si>
  <si>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</si>
  <si>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</si>
  <si>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</si>
  <si>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</si>
  <si>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</si>
  <si>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</si>
  <si>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</si>
  <si>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</si>
  <si>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</si>
  <si>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</si>
  <si>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</si>
  <si>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</si>
  <si>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</si>
  <si>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</si>
  <si>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</si>
  <si>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</si>
  <si>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</si>
  <si>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</si>
  <si>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</si>
  <si>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</si>
  <si>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</si>
  <si>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</si>
  <si>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</si>
  <si>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</si>
  <si>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</si>
  <si>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</si>
  <si>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</si>
  <si>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</si>
  <si>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</si>
  <si>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</si>
  <si>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</si>
  <si>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</si>
  <si>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</si>
  <si>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</si>
  <si>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</si>
  <si>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</si>
  <si>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</si>
  <si>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</si>
  <si>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</si>
  <si>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</si>
  <si>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</si>
  <si>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</si>
  <si>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</si>
  <si>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</si>
  <si>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</si>
  <si>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</si>
  <si>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</si>
  <si>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</si>
  <si>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</si>
  <si>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</si>
  <si>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</si>
  <si>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</si>
  <si>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</si>
  <si>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</si>
  <si>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</si>
  <si>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</si>
  <si>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</si>
  <si>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</si>
  <si>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</si>
  <si>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</si>
  <si>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</si>
  <si>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</si>
  <si>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</si>
  <si>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</si>
  <si>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</si>
  <si>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</si>
  <si>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</si>
  <si>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</si>
  <si>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</si>
  <si>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</si>
  <si>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</si>
  <si>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</si>
  <si>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</si>
  <si>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</si>
  <si>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</si>
  <si>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</si>
  <si>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</si>
  <si>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</si>
  <si>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</si>
  <si>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</si>
  <si>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</si>
  <si>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</si>
  <si>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</si>
  <si>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</si>
  <si>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</si>
  <si>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</si>
  <si>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</si>
  <si>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</si>
  <si>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</si>
  <si>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</si>
  <si>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</si>
  <si>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</si>
  <si>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</si>
  <si>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</si>
  <si>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</si>
  <si>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</si>
  <si>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</si>
  <si>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</si>
  <si>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</si>
  <si>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</si>
  <si>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</si>
  <si>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</si>
  <si>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</si>
  <si>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</si>
  <si>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</si>
  <si>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</si>
  <si>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</si>
  <si>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</si>
  <si>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</si>
  <si>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</si>
  <si>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</si>
  <si>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</si>
  <si>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</si>
  <si>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</si>
  <si>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</si>
  <si>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</si>
  <si>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</si>
  <si>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</si>
  <si>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</si>
  <si>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</si>
  <si>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</si>
  <si>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</si>
  <si>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</si>
  <si>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</si>
  <si>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</si>
  <si>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</si>
  <si>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</si>
  <si>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</si>
  <si>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</si>
  <si>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</si>
  <si>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</si>
  <si>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</si>
  <si>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</si>
  <si>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</si>
  <si>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</si>
  <si>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</si>
  <si>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</si>
  <si>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</si>
  <si>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</si>
  <si>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</si>
  <si>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</si>
  <si>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</si>
  <si>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</si>
  <si>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</si>
  <si>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</si>
  <si>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</si>
  <si>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</si>
  <si>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</si>
  <si>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</si>
  <si>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</si>
  <si>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</si>
  <si>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</si>
  <si>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</si>
  <si>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</si>
  <si>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</si>
  <si>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</si>
  <si>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</si>
  <si>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</si>
  <si>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</si>
  <si>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</si>
  <si>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</si>
  <si>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</si>
  <si>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</si>
  <si>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</si>
  <si>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</si>
  <si>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</si>
  <si>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</si>
  <si>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</si>
  <si>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</si>
  <si>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</si>
  <si>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</si>
  <si>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</si>
  <si>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</si>
  <si>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</si>
  <si>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</si>
  <si>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</si>
  <si>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</si>
  <si>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</si>
  <si>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</si>
  <si>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</si>
  <si>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</si>
  <si>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</si>
  <si>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</si>
  <si>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</si>
  <si>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</si>
  <si>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</si>
  <si>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</si>
  <si>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</si>
  <si>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</si>
  <si>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</si>
  <si>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</si>
  <si>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</si>
  <si>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</si>
  <si>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</si>
  <si>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</si>
  <si>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</si>
  <si>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</si>
  <si>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</si>
  <si>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</si>
  <si>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</si>
  <si>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</si>
  <si>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</si>
  <si>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</si>
  <si>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</si>
  <si>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</si>
  <si>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</si>
  <si>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</si>
  <si>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</si>
  <si>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</si>
  <si>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</si>
  <si>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</si>
  <si>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</si>
  <si>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</si>
  <si>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</si>
  <si>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</si>
  <si>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</si>
  <si>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</si>
  <si>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</si>
  <si>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</si>
  <si>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</si>
  <si>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</si>
  <si>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</si>
  <si>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</si>
  <si>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</si>
  <si>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</si>
  <si>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</si>
  <si>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</si>
  <si>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</si>
  <si>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</si>
  <si>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</si>
  <si>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</si>
  <si>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</si>
  <si>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</si>
  <si>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</si>
  <si>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</si>
  <si>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</si>
  <si>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</si>
  <si>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</si>
  <si>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</si>
  <si>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</si>
  <si>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</si>
  <si>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</si>
  <si>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</si>
  <si>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</si>
  <si>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</si>
  <si>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</si>
  <si>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</si>
  <si>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</si>
  <si>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</si>
  <si>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</si>
  <si>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</si>
  <si>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</si>
  <si>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</si>
  <si>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</si>
  <si>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</si>
  <si>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</si>
  <si>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</si>
  <si>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</si>
  <si>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</si>
  <si>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</si>
  <si>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</si>
  <si>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</si>
  <si>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</si>
  <si>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</si>
  <si>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</si>
  <si>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</si>
  <si>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</si>
  <si>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</si>
  <si>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</si>
  <si>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</si>
  <si>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</si>
  <si>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</si>
  <si>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</si>
  <si>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</si>
  <si>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</si>
  <si>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</si>
  <si>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</si>
  <si>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</si>
  <si>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</si>
  <si>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</si>
  <si>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</si>
  <si>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</si>
  <si>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</si>
  <si>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</si>
  <si>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</si>
  <si>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</si>
  <si>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</si>
  <si>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</si>
  <si>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</si>
  <si>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</si>
  <si>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</si>
  <si>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</si>
  <si>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</si>
  <si>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</si>
  <si>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</si>
  <si>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</si>
  <si>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</si>
  <si>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</si>
  <si>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</si>
  <si>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</si>
  <si>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</si>
  <si>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</si>
  <si>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</si>
  <si>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</si>
  <si>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</si>
  <si>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</si>
  <si>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</si>
  <si>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</si>
  <si>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</si>
  <si>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</si>
  <si>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</si>
  <si>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</si>
  <si>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</si>
  <si>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</si>
  <si>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</si>
  <si>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</si>
  <si>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</si>
  <si>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</si>
  <si>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</si>
  <si>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</si>
  <si>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</si>
  <si>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</si>
  <si>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</si>
  <si>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</si>
  <si>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</si>
  <si>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</si>
  <si>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</si>
  <si>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</si>
  <si>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</si>
  <si>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</si>
  <si>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</si>
  <si>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</si>
  <si>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</si>
  <si>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</si>
  <si>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</si>
  <si>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</si>
  <si>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</si>
  <si>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</si>
  <si>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</si>
  <si>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</si>
  <si>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</si>
  <si>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</si>
  <si>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</si>
  <si>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</si>
  <si>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</si>
  <si>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</si>
  <si>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</si>
  <si>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</si>
  <si>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</si>
  <si>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</si>
  <si>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</si>
  <si>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</si>
  <si>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</si>
  <si>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</si>
  <si>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</si>
  <si>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</si>
  <si>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</si>
  <si>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</si>
  <si>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</si>
  <si>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</si>
  <si>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</si>
  <si>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</si>
  <si>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</si>
  <si>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</si>
  <si>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</si>
  <si>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</si>
  <si>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</si>
  <si>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</si>
  <si>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</si>
  <si>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</si>
  <si>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</si>
  <si>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</si>
  <si>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</si>
  <si>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</si>
  <si>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</si>
  <si>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</si>
  <si>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</si>
  <si>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</si>
  <si>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</si>
  <si>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</si>
  <si>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</si>
  <si>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</si>
  <si>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</si>
  <si>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</si>
  <si>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</si>
  <si>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</si>
  <si>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</si>
  <si>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</si>
  <si>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</si>
  <si>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</si>
  <si>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</si>
  <si>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</si>
  <si>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</si>
  <si>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</si>
  <si>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</si>
  <si>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</si>
  <si>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</si>
  <si>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</si>
  <si>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</si>
  <si>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</si>
  <si>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</si>
  <si>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</si>
  <si>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</si>
  <si>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</si>
  <si>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</si>
  <si>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</si>
  <si>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</si>
  <si>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</si>
  <si>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</si>
  <si>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</si>
  <si>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</si>
  <si>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</si>
  <si>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</si>
  <si>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</si>
  <si>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</si>
  <si>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</si>
  <si>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</si>
  <si>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</si>
  <si>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</si>
  <si>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</si>
  <si>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</si>
  <si>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</si>
  <si>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</si>
  <si>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</si>
  <si>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</si>
  <si>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</si>
  <si>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</si>
  <si>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</si>
  <si>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</si>
  <si>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</si>
  <si>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</si>
  <si>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</si>
  <si>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</si>
  <si>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</si>
  <si>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</si>
  <si>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</si>
  <si>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</si>
  <si>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</si>
  <si>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</si>
  <si>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</si>
  <si>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</si>
  <si>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</si>
  <si>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</si>
  <si>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</si>
  <si>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</si>
  <si>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</si>
  <si>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</si>
  <si>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</si>
  <si>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</si>
  <si>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</si>
  <si>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</si>
  <si>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</si>
  <si>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</si>
  <si>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</si>
  <si>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</si>
  <si>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</si>
  <si>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</si>
  <si>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</si>
  <si>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</si>
  <si>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</si>
  <si>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</si>
  <si>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</si>
  <si>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</si>
  <si>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</si>
  <si>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</si>
  <si>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</si>
  <si>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</si>
  <si>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</si>
  <si>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</si>
  <si>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</si>
  <si>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</si>
  <si>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</si>
  <si>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</si>
  <si>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</si>
  <si>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</si>
  <si>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</si>
  <si>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</si>
  <si>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</si>
  <si>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</si>
  <si>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</si>
  <si>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</si>
  <si>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</si>
  <si>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</si>
  <si>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</si>
  <si>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</si>
  <si>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</si>
  <si>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</si>
  <si>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</si>
  <si>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</si>
  <si>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</si>
  <si>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</si>
  <si>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</si>
  <si>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</si>
  <si>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</si>
  <si>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</si>
  <si>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</si>
  <si>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</si>
  <si>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</si>
  <si>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</si>
  <si>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</si>
  <si>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</si>
  <si>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</si>
  <si>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</si>
  <si>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</si>
  <si>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</si>
  <si>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</si>
  <si>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</si>
  <si>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</si>
  <si>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</si>
  <si>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</si>
  <si>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</si>
  <si>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</si>
  <si>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</si>
  <si>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</si>
  <si>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</si>
  <si>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</si>
  <si>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</si>
  <si>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</si>
  <si>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</si>
  <si>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</si>
  <si>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</si>
  <si>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</si>
  <si>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</si>
  <si>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</si>
  <si>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</si>
  <si>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</si>
  <si>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</si>
  <si>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</si>
  <si>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</si>
  <si>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</si>
  <si>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</si>
  <si>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</si>
  <si>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</si>
  <si>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</si>
  <si>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</si>
  <si>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</si>
  <si>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</si>
  <si>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</si>
  <si>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</si>
  <si>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</si>
  <si>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</si>
  <si>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</si>
  <si>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</si>
  <si>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</si>
  <si>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</si>
  <si>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</si>
  <si>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</si>
  <si>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</si>
  <si>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</si>
  <si>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</si>
  <si>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</si>
  <si>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</si>
  <si>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</si>
  <si>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</si>
  <si>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</si>
  <si>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</si>
  <si>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</si>
  <si>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</si>
  <si>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</si>
  <si>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</si>
  <si>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</si>
  <si>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</si>
  <si>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</si>
  <si>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</si>
  <si>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</si>
  <si>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</si>
  <si>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</si>
  <si>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</si>
  <si>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</si>
  <si>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</si>
  <si>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</si>
  <si>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</si>
  <si>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</si>
  <si>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</si>
  <si>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</si>
  <si>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</si>
  <si>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</si>
  <si>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</si>
  <si>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</si>
  <si>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</si>
  <si>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</si>
  <si>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</si>
  <si>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</si>
  <si>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</si>
  <si>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</si>
  <si>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</si>
  <si>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</si>
  <si>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</si>
  <si>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</si>
  <si>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</si>
  <si>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</si>
  <si>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</si>
  <si>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</si>
  <si>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</si>
  <si>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</si>
  <si>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</si>
  <si>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</si>
  <si>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</si>
  <si>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</si>
  <si>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</si>
  <si>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</si>
  <si>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</si>
  <si>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</si>
  <si>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</si>
  <si>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</si>
  <si>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</si>
  <si>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</si>
  <si>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</si>
  <si>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</si>
  <si>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</si>
  <si>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</si>
  <si>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</si>
  <si>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</si>
  <si>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</si>
  <si>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</si>
  <si>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</si>
  <si>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</si>
  <si>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</si>
  <si>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</si>
  <si>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</si>
  <si>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</si>
  <si>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</si>
  <si>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</si>
  <si>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</si>
  <si>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</si>
  <si>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</si>
  <si>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</si>
  <si>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</si>
  <si>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</si>
  <si>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</si>
  <si>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</si>
  <si>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</si>
  <si>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</si>
  <si>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</si>
  <si>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</si>
  <si>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</si>
  <si>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</si>
  <si>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</si>
  <si>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</si>
  <si>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</si>
  <si>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</si>
  <si>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</si>
  <si>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</si>
  <si>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</si>
  <si>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</si>
  <si>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</si>
  <si>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</si>
  <si>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</si>
  <si>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</si>
  <si>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</si>
  <si>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</si>
  <si>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</si>
  <si>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</si>
  <si>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</si>
  <si>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</si>
  <si>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</si>
  <si>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</si>
  <si>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</si>
  <si>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</si>
  <si>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</si>
  <si>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</si>
  <si>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</si>
  <si>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</si>
  <si>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</si>
  <si>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</si>
  <si>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</si>
  <si>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</si>
  <si>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</si>
  <si>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</si>
  <si>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</si>
  <si>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</si>
  <si>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</si>
  <si>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</si>
  <si>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</si>
  <si>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</si>
  <si>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</si>
  <si>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</si>
  <si>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</si>
  <si>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</si>
  <si>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</si>
  <si>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</si>
  <si>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</si>
  <si>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</si>
  <si>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</si>
  <si>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</si>
  <si>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</si>
  <si>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</si>
  <si>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</si>
  <si>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</si>
  <si>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</si>
  <si>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</si>
  <si>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</si>
  <si>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</si>
  <si>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</si>
  <si>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</si>
  <si>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</si>
  <si>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</si>
  <si>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</si>
  <si>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</si>
  <si>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</si>
  <si>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</si>
  <si>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</si>
  <si>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</si>
  <si>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</si>
  <si>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</si>
  <si>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</si>
  <si>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</si>
  <si>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</si>
  <si>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</si>
  <si>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</si>
  <si>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</si>
  <si>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</si>
  <si>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</si>
  <si>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</si>
  <si>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</si>
  <si>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</si>
  <si>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</si>
  <si>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</si>
  <si>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</si>
  <si>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</si>
  <si>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</si>
  <si>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</si>
  <si>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</si>
  <si>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</si>
  <si>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</si>
  <si>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</si>
  <si>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</si>
  <si>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</si>
  <si>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</si>
  <si>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</si>
  <si>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</si>
  <si>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</si>
  <si>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</si>
  <si>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</si>
  <si>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</si>
  <si>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</si>
  <si>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</si>
  <si>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</si>
  <si>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</si>
  <si>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</si>
  <si>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</si>
  <si>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</si>
  <si>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</si>
  <si>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</si>
  <si>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</si>
  <si>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</si>
  <si>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</si>
  <si>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</si>
  <si>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</si>
  <si>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</si>
  <si>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</si>
  <si>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</si>
  <si>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</si>
  <si>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</si>
  <si>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</si>
  <si>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</si>
  <si>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</si>
  <si>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</si>
  <si>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</si>
  <si>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</si>
  <si>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</si>
  <si>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</si>
  <si>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</si>
  <si>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</si>
  <si>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</si>
  <si>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</si>
  <si>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</si>
  <si>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</si>
  <si>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</si>
  <si>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</si>
  <si>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</si>
  <si>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</si>
  <si>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</si>
  <si>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</si>
  <si>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</si>
  <si>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</si>
  <si>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</si>
  <si>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</si>
  <si>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</si>
  <si>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</si>
  <si>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</si>
  <si>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</si>
  <si>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</si>
  <si>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</si>
  <si>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</si>
  <si>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</si>
  <si>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</si>
  <si>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</si>
  <si>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</si>
  <si>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</si>
  <si>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</si>
  <si>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</si>
  <si>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</si>
  <si>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</si>
  <si>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</si>
  <si>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</si>
  <si>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</si>
  <si>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</si>
  <si>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</si>
  <si>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</si>
  <si>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</si>
  <si>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</si>
  <si>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</si>
  <si>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</si>
  <si>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</si>
  <si>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</si>
  <si>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</si>
  <si>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</si>
  <si>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</si>
  <si>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</si>
  <si>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</si>
  <si>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</si>
  <si>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</si>
  <si>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</si>
  <si>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</si>
  <si>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</si>
  <si>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</si>
  <si>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</si>
  <si>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</si>
  <si>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</si>
  <si>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</si>
  <si>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</si>
  <si>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</si>
  <si>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</si>
  <si>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</si>
  <si>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</si>
  <si>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</si>
  <si>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</si>
  <si>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</si>
  <si>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</si>
  <si>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</si>
  <si>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</si>
  <si>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</si>
  <si>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</si>
  <si>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</si>
  <si>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</si>
  <si>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</si>
  <si>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</si>
  <si>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</si>
  <si>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</si>
  <si>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</si>
  <si>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</si>
  <si>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</si>
  <si>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</si>
  <si>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</si>
  <si>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</si>
  <si>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</si>
  <si>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</si>
  <si>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</si>
  <si>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</si>
  <si>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</si>
  <si>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</si>
  <si>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</si>
  <si>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</si>
  <si>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</si>
  <si>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</si>
  <si>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</si>
  <si>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</si>
  <si>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</si>
  <si>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</si>
  <si>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</si>
  <si>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</si>
  <si>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</si>
  <si>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</si>
  <si>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</si>
  <si>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</si>
  <si>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</si>
  <si>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</si>
  <si>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</si>
  <si>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</si>
  <si>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</si>
  <si>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</si>
  <si>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</si>
  <si>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</si>
  <si>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</si>
  <si>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</si>
  <si>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</si>
  <si>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</si>
  <si>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</si>
  <si>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</si>
  <si>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</si>
  <si>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</si>
  <si>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</si>
  <si>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</si>
  <si>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</si>
  <si>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</si>
  <si>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</si>
  <si>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</si>
  <si>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</si>
  <si>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</si>
  <si>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</si>
  <si>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</si>
  <si>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</si>
  <si>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</si>
  <si>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</si>
  <si>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</si>
  <si>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</si>
  <si>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</si>
  <si>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</si>
  <si>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</si>
  <si>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</si>
  <si>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</si>
  <si>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</si>
  <si>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</si>
  <si>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</si>
  <si>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</si>
  <si>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</si>
  <si>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</si>
  <si>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</si>
  <si>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</si>
  <si>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</si>
  <si>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</si>
  <si>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</si>
  <si>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</si>
  <si>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</si>
  <si>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</si>
  <si>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</si>
  <si>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</si>
  <si>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</si>
  <si>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</si>
  <si>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</si>
  <si>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</si>
  <si>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</si>
  <si>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</si>
  <si>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</si>
  <si>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</si>
  <si>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</si>
  <si>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</si>
  <si>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</si>
  <si>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</si>
  <si>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</si>
  <si>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</si>
  <si>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</si>
  <si>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</si>
  <si>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</si>
  <si>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</si>
  <si>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</si>
  <si>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</si>
  <si>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</si>
  <si>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</si>
  <si>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</si>
  <si>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</si>
  <si>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</si>
  <si>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</si>
  <si>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</si>
  <si>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</si>
  <si>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</si>
  <si>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</si>
  <si>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</si>
  <si>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</si>
  <si>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</si>
  <si>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</si>
  <si>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</si>
  <si>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</si>
  <si>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</si>
  <si>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</si>
  <si>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</si>
  <si>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</si>
  <si>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</si>
  <si>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</si>
  <si>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</si>
  <si>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</si>
  <si>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</si>
  <si>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</si>
  <si>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</si>
  <si>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</si>
  <si>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</si>
  <si>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</si>
  <si>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</si>
  <si>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</si>
  <si>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</si>
  <si>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</si>
  <si>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</si>
  <si>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</si>
  <si>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</si>
  <si>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</si>
  <si>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</si>
  <si>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</si>
  <si>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</si>
  <si>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</si>
  <si>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</si>
  <si>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</si>
  <si>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</si>
  <si>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</si>
  <si>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</si>
  <si>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</si>
  <si>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</si>
  <si>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</si>
  <si>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</si>
  <si>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</si>
  <si>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</si>
  <si>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</si>
  <si>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</si>
  <si>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</si>
  <si>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</si>
  <si>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</si>
  <si>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</si>
  <si>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</si>
  <si>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</si>
  <si>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</si>
  <si>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</si>
  <si>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</si>
  <si>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</si>
  <si>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</si>
  <si>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</si>
  <si>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</si>
  <si>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</si>
  <si>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</si>
  <si>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</si>
  <si>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</si>
  <si>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</si>
  <si>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</si>
  <si>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</si>
  <si>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</si>
  <si>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</si>
  <si>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</si>
  <si>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</si>
  <si>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</si>
  <si>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</si>
  <si>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</si>
  <si>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</si>
  <si>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</si>
  <si>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</si>
  <si>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</si>
  <si>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</si>
  <si>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</si>
  <si>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</si>
  <si>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</si>
  <si>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</si>
  <si>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</si>
  <si>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</si>
  <si>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</si>
  <si>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</si>
  <si>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</si>
  <si>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</si>
  <si>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</si>
  <si>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</si>
  <si>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</si>
  <si>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</si>
  <si>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</si>
  <si>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</si>
  <si>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</si>
  <si>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</si>
  <si>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</si>
  <si>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</si>
  <si>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</si>
  <si>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</si>
  <si>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</si>
  <si>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</si>
  <si>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</si>
  <si>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</si>
  <si>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</si>
  <si>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</si>
  <si>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</si>
  <si>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</si>
  <si>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</si>
  <si>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</si>
  <si>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</si>
  <si>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</si>
  <si>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</si>
  <si>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</si>
  <si>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</si>
  <si>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</si>
  <si>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</si>
  <si>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</si>
  <si>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</si>
  <si>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</si>
  <si>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</si>
  <si>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</si>
  <si>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</si>
  <si>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</si>
  <si>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</si>
  <si>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</si>
  <si>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</si>
  <si>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</si>
  <si>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</si>
  <si>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</si>
  <si>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</si>
  <si>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</si>
  <si>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</si>
  <si>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</si>
  <si>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</si>
  <si>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</si>
  <si>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</si>
  <si>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</si>
  <si>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</si>
  <si>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</si>
  <si>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</si>
  <si>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</si>
  <si>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</si>
  <si>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</si>
  <si>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</si>
  <si>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</si>
  <si>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</si>
  <si>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</si>
  <si>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</si>
  <si>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</si>
  <si>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</si>
  <si>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</si>
  <si>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</si>
  <si>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</si>
  <si>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</si>
  <si>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</si>
  <si>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</si>
  <si>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</si>
  <si>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</si>
  <si>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</si>
  <si>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</si>
  <si>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</si>
  <si>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</si>
  <si>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</si>
  <si>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</si>
  <si>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</si>
  <si>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</si>
  <si>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</si>
  <si>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</si>
  <si>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</si>
  <si>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</si>
  <si>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</si>
  <si>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</si>
  <si>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</si>
  <si>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</si>
  <si>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</si>
  <si>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</si>
  <si>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</si>
  <si>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</si>
  <si>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</si>
  <si>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</si>
  <si>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</si>
  <si>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</si>
  <si>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</si>
  <si>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</si>
  <si>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</si>
  <si>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</si>
  <si>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</si>
  <si>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</si>
  <si>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</si>
  <si>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</si>
  <si>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</si>
  <si>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</si>
  <si>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</si>
  <si>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</si>
  <si>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</si>
  <si>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</si>
  <si>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</si>
  <si>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</si>
  <si>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</si>
  <si>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</si>
  <si>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</si>
  <si>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</si>
  <si>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</si>
  <si>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</si>
  <si>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</si>
  <si>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</si>
  <si>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</si>
  <si>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</si>
  <si>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</si>
  <si>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</si>
  <si>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</si>
  <si>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</si>
  <si>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</si>
  <si>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</si>
  <si>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</si>
  <si>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</si>
  <si>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</si>
  <si>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</si>
  <si>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</si>
  <si>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</si>
  <si>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</si>
  <si>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</si>
  <si>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</si>
  <si>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</si>
  <si>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</si>
  <si>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</si>
  <si>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</si>
  <si>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</si>
  <si>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</si>
  <si>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</si>
  <si>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</si>
  <si>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</si>
  <si>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</si>
  <si>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</si>
  <si>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</si>
  <si>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</si>
  <si>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</si>
  <si>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</si>
  <si>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</si>
  <si>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</si>
  <si>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</si>
  <si>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</si>
  <si>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</si>
  <si>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</si>
  <si>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</si>
  <si>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</si>
  <si>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</si>
  <si>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</si>
  <si>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</si>
  <si>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</si>
  <si>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</si>
  <si>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</si>
  <si>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</si>
  <si>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</si>
  <si>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</si>
  <si>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</si>
  <si>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</si>
  <si>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</si>
  <si>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</si>
  <si>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</si>
  <si>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</si>
  <si>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</si>
  <si>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</si>
  <si>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</si>
  <si>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</si>
  <si>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</si>
  <si>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</si>
  <si>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</si>
  <si>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</si>
  <si>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</si>
  <si>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</si>
  <si>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</si>
  <si>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</si>
  <si>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</si>
  <si>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</si>
  <si>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</si>
  <si>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</si>
  <si>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</si>
  <si>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</si>
  <si>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</si>
  <si>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</si>
  <si>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</si>
  <si>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</si>
  <si>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</si>
  <si>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</si>
  <si>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</si>
  <si>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</si>
  <si>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</si>
  <si>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</si>
  <si>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</si>
  <si>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</si>
  <si>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</si>
  <si>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</si>
  <si>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</si>
  <si>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</si>
  <si>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</si>
  <si>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</si>
  <si>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</si>
  <si>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</si>
  <si>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</si>
  <si>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</si>
  <si>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</si>
  <si>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</si>
  <si>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</si>
  <si>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</si>
  <si>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</si>
  <si>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</si>
  <si>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</si>
  <si>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</si>
  <si>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</si>
  <si>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</si>
  <si>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</si>
  <si>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</si>
  <si>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</si>
  <si>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</si>
  <si>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</si>
  <si>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</si>
  <si>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</si>
  <si>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</si>
  <si>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</si>
  <si>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</si>
  <si>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</si>
  <si>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</si>
  <si>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</si>
  <si>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</si>
  <si>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</si>
  <si>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</si>
  <si>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</si>
  <si>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</si>
  <si>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</si>
  <si>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</si>
  <si>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</si>
  <si>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</si>
  <si>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</si>
  <si>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</si>
  <si>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</si>
  <si>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</si>
  <si>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</si>
  <si>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</si>
  <si>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</si>
  <si>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</si>
  <si>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</si>
  <si>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</si>
  <si>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</si>
  <si>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</si>
  <si>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</si>
  <si>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</si>
  <si>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</si>
  <si>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</si>
  <si>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</si>
  <si>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</si>
  <si>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</si>
  <si>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</si>
  <si>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</si>
  <si>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</si>
  <si>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</si>
  <si>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</si>
  <si>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</si>
  <si>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</si>
  <si>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</si>
  <si>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</si>
  <si>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</si>
  <si>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</si>
  <si>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</si>
  <si>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</si>
  <si>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</si>
  <si>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</si>
  <si>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</si>
  <si>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</si>
  <si>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</si>
  <si>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</si>
  <si>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</si>
  <si>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</si>
  <si>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</si>
  <si>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</si>
  <si>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</si>
  <si>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</si>
  <si>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</si>
  <si>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</si>
  <si>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</si>
  <si>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</si>
  <si>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</si>
  <si>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</si>
  <si>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</si>
  <si>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</si>
  <si>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</si>
  <si>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</si>
  <si>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</si>
  <si>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</si>
  <si>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</si>
  <si>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</si>
  <si>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</si>
  <si>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</si>
  <si>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</si>
  <si>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</si>
  <si>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</si>
  <si>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</si>
  <si>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</si>
  <si>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</si>
  <si>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</si>
  <si>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</si>
  <si>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</si>
  <si>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</si>
  <si>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</si>
  <si>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</si>
  <si>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</si>
  <si>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</si>
  <si>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</si>
  <si>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</si>
  <si>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</si>
  <si>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</si>
  <si>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</si>
  <si>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</si>
  <si>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</si>
  <si>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</si>
  <si>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</si>
  <si>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</si>
  <si>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</si>
  <si>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</si>
  <si>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</si>
  <si>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</si>
  <si>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</si>
  <si>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</si>
  <si>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</si>
  <si>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</si>
  <si>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</si>
  <si>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</si>
  <si>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</si>
  <si>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</si>
  <si>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</si>
  <si>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</si>
  <si>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</si>
  <si>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</si>
  <si>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</si>
  <si>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</si>
  <si>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</si>
  <si>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</si>
  <si>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</si>
  <si>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</si>
  <si>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</si>
  <si>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</si>
  <si>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</si>
  <si>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</si>
  <si>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</si>
  <si>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</si>
  <si>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</si>
  <si>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</si>
  <si>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</si>
  <si>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</si>
  <si>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</si>
  <si>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</si>
  <si>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</si>
  <si>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</si>
  <si>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</si>
  <si>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</si>
  <si>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</si>
  <si>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</si>
  <si>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</si>
  <si>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</si>
  <si>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</si>
  <si>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</si>
  <si>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</si>
  <si>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</si>
  <si>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</si>
  <si>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</si>
  <si>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</si>
  <si>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</si>
  <si>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</si>
  <si>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</si>
  <si>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</si>
  <si>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</si>
  <si>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</si>
  <si>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</si>
  <si>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</si>
  <si>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</si>
  <si>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</si>
  <si>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</si>
  <si>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</si>
  <si>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</si>
  <si>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</si>
  <si>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</si>
  <si>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</si>
  <si>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</si>
  <si>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</si>
  <si>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</si>
  <si>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</si>
  <si>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</si>
  <si>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</si>
  <si>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</si>
  <si>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</si>
  <si>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</si>
  <si>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</si>
  <si>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</si>
  <si>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</si>
  <si>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</si>
  <si>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</si>
  <si>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</si>
  <si>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</si>
  <si>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</si>
  <si>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</si>
  <si>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</si>
  <si>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</si>
  <si>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</si>
  <si>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</si>
  <si>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</si>
  <si>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</si>
  <si>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</si>
  <si>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</si>
  <si>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</si>
  <si>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</si>
  <si>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</si>
  <si>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</si>
  <si>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</si>
  <si>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</si>
  <si>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</si>
  <si>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</si>
  <si>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</si>
  <si>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</si>
  <si>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</si>
  <si>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</si>
  <si>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</si>
  <si>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</si>
  <si>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</si>
  <si>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</si>
  <si>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</si>
  <si>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</si>
  <si>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</si>
  <si>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</si>
  <si>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</si>
  <si>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</si>
  <si>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</si>
  <si>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</si>
  <si>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</si>
  <si>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</si>
  <si>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</si>
  <si>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</si>
  <si>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</si>
  <si>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</si>
  <si>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</si>
  <si>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</si>
  <si>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</si>
  <si>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</si>
  <si>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</si>
  <si>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</si>
  <si>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</si>
  <si>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</si>
  <si>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</si>
  <si>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</si>
  <si>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</si>
  <si>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</si>
  <si>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</si>
  <si>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</si>
  <si>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</si>
  <si>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</si>
  <si>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</si>
  <si>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</si>
  <si>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</si>
  <si>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</si>
  <si>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</si>
  <si>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</si>
  <si>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</si>
  <si>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</si>
  <si>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</si>
  <si>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</si>
  <si>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</si>
  <si>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</si>
  <si>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</si>
  <si>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</si>
  <si>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</si>
  <si>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</si>
  <si>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</si>
  <si>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</si>
  <si>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</si>
  <si>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</si>
  <si>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</si>
  <si>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</si>
  <si>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</si>
  <si>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</si>
  <si>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</si>
  <si>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</si>
  <si>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</si>
  <si>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</si>
  <si>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</si>
  <si>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</si>
  <si>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</si>
  <si>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</si>
  <si>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</si>
  <si>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</si>
  <si>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</si>
  <si>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</si>
  <si>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</si>
  <si>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</si>
  <si>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</si>
  <si>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</si>
  <si>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</si>
  <si>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</si>
  <si>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</si>
  <si>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</si>
  <si>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</si>
  <si>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</si>
  <si>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</si>
  <si>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</si>
  <si>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</si>
  <si>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</si>
  <si>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</si>
  <si>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</si>
  <si>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</si>
  <si>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</si>
  <si>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</si>
  <si>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</si>
  <si>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</si>
  <si>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</si>
  <si>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</si>
  <si>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</si>
  <si>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</si>
  <si>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</si>
  <si>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</si>
  <si>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</si>
  <si>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</si>
  <si>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</si>
  <si>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</si>
  <si>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</si>
  <si>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</si>
  <si>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</si>
  <si>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</si>
  <si>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</si>
  <si>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</si>
  <si>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</si>
  <si>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</si>
  <si>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</si>
  <si>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</si>
  <si>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</si>
  <si>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</si>
  <si>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</si>
  <si>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</si>
  <si>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</si>
  <si>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</si>
  <si>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</si>
  <si>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</si>
  <si>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</si>
  <si>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</si>
  <si>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</si>
  <si>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</si>
  <si>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</si>
  <si>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</si>
  <si>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</si>
  <si>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</si>
  <si>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</si>
  <si>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</si>
  <si>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</si>
  <si>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</si>
  <si>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</si>
  <si>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</si>
  <si>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</si>
  <si>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</si>
  <si>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</si>
  <si>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</si>
  <si>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</si>
  <si>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</si>
  <si>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</si>
  <si>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</si>
  <si>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</si>
  <si>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</si>
  <si>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</si>
  <si>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</si>
  <si>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</si>
  <si>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</si>
  <si>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</si>
  <si>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</si>
  <si>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</si>
  <si>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</si>
  <si>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</si>
  <si>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</si>
  <si>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</si>
  <si>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</si>
  <si>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</si>
  <si>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</si>
  <si>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</si>
  <si>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</si>
  <si>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</si>
  <si>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</si>
  <si>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</si>
  <si>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</si>
  <si>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</si>
  <si>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</si>
  <si>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</si>
  <si>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</si>
  <si>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</si>
  <si>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</si>
  <si>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</si>
  <si>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</si>
  <si>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</si>
  <si>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</si>
  <si>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</si>
  <si>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</si>
  <si>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</si>
  <si>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</si>
  <si>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</si>
  <si>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</si>
  <si>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</si>
  <si>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</si>
  <si>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</si>
  <si>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</si>
  <si>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</si>
  <si>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</si>
  <si>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</si>
  <si>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</si>
  <si>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</si>
  <si>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</si>
  <si>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</si>
  <si>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</si>
  <si>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</si>
  <si>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</si>
  <si>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</si>
  <si>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</si>
  <si>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</si>
  <si>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</si>
  <si>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</si>
  <si>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</si>
  <si>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</si>
  <si>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</si>
  <si>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</si>
  <si>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</si>
  <si>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</si>
  <si>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</si>
  <si>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</si>
  <si>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</si>
  <si>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</si>
  <si>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</si>
  <si>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</si>
  <si>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</si>
  <si>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</si>
  <si>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</si>
  <si>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</si>
  <si>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</si>
  <si>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</si>
  <si>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</si>
  <si>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</si>
  <si>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</si>
  <si>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</si>
  <si>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</si>
  <si>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</si>
  <si>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</si>
  <si>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</si>
  <si>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</si>
  <si>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</si>
  <si>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</si>
  <si>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</si>
  <si>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</si>
  <si>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</si>
  <si>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</si>
  <si>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</si>
  <si>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</si>
  <si>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</si>
  <si>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</si>
  <si>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</si>
  <si>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</si>
  <si>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</si>
  <si>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</si>
  <si>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</si>
  <si>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</si>
  <si>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</si>
  <si>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</si>
  <si>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</si>
  <si>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</si>
  <si>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</si>
  <si>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</si>
  <si>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</si>
  <si>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</si>
  <si>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</si>
  <si>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</si>
  <si>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</si>
  <si>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</si>
  <si>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</si>
  <si>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</si>
  <si>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</si>
  <si>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</si>
  <si>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</si>
  <si>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</si>
  <si>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</si>
  <si>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</si>
  <si>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</si>
  <si>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</si>
  <si>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</si>
  <si>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</si>
  <si>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</si>
  <si>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</si>
  <si>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</si>
  <si>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</si>
  <si>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</si>
  <si>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</si>
  <si>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</si>
  <si>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</si>
  <si>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</si>
  <si>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</si>
  <si>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</si>
  <si>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</si>
  <si>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</si>
  <si>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</si>
  <si>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</si>
  <si>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</si>
  <si>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</si>
  <si>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</si>
  <si>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</si>
  <si>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</si>
  <si>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</si>
  <si>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</si>
  <si>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</si>
  <si>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</si>
  <si>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</si>
  <si>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</si>
  <si>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</si>
  <si>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</si>
  <si>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</si>
  <si>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</si>
  <si>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</si>
  <si>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</si>
  <si>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</si>
  <si>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</si>
  <si>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</si>
  <si>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</si>
  <si>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</si>
  <si>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</si>
  <si>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</si>
  <si>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</si>
  <si>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</si>
  <si>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</si>
  <si>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</si>
  <si>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</si>
  <si>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</si>
  <si>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</si>
  <si>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</si>
  <si>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</si>
  <si>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</si>
  <si>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</si>
  <si>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</si>
  <si>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</si>
  <si>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</si>
  <si>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</si>
  <si>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</si>
  <si>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</si>
  <si>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</si>
  <si>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</si>
  <si>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</si>
  <si>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</si>
  <si>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</si>
  <si>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</si>
  <si>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</si>
  <si>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</si>
  <si>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</si>
  <si>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</si>
  <si>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</si>
  <si>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</si>
  <si>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</si>
  <si>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</si>
  <si>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</si>
  <si>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</si>
  <si>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</si>
  <si>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</si>
  <si>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</si>
  <si>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</si>
  <si>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</si>
  <si>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</si>
  <si>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</si>
  <si>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</si>
  <si>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</si>
  <si>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</si>
  <si>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</si>
  <si>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</si>
  <si>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</si>
  <si>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</si>
  <si>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</si>
  <si>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</si>
  <si>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</si>
  <si>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</si>
  <si>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</si>
  <si>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</si>
  <si>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</si>
  <si>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</si>
  <si>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</si>
  <si>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</si>
  <si>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</si>
  <si>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</si>
  <si>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</si>
  <si>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</si>
  <si>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</si>
  <si>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</si>
  <si>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</si>
  <si>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</si>
  <si>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</si>
  <si>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</si>
  <si>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</si>
  <si>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</si>
  <si>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</si>
  <si>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</si>
  <si>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</si>
  <si>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</si>
  <si>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</si>
  <si>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</si>
  <si>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</si>
  <si>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</si>
  <si>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</si>
  <si>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</si>
  <si>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</si>
  <si>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</si>
  <si>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</si>
  <si>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</si>
  <si>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</si>
  <si>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</si>
  <si>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</si>
  <si>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</si>
  <si>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</si>
  <si>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</si>
  <si>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</si>
  <si>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</si>
  <si>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</si>
  <si>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</si>
  <si>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</si>
  <si>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</si>
  <si>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</si>
  <si>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</si>
  <si>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</si>
  <si>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</si>
  <si>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</si>
  <si>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</si>
  <si>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</si>
  <si>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</si>
  <si>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</si>
  <si>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</si>
  <si>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</si>
  <si>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</si>
  <si>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</si>
  <si>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</si>
  <si>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</si>
  <si>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</si>
  <si>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</si>
  <si>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</si>
  <si>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</si>
  <si>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</si>
  <si>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</si>
  <si>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</si>
  <si>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</si>
  <si>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</si>
  <si>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</si>
  <si>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</si>
  <si>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</si>
  <si>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</si>
  <si>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</si>
  <si>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</si>
  <si>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</si>
  <si>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</si>
  <si>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</si>
  <si>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</si>
  <si>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</si>
  <si>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</si>
  <si>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</si>
  <si>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</si>
  <si>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</si>
  <si>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</si>
  <si>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</si>
  <si>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</si>
  <si>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</si>
  <si>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</si>
  <si>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</si>
  <si>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</si>
  <si>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</si>
  <si>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</si>
  <si>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</si>
  <si>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</si>
  <si>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</si>
  <si>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</si>
  <si>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</si>
  <si>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</si>
  <si>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</si>
  <si>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</si>
  <si>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</si>
  <si>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</si>
  <si>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</si>
  <si>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</si>
  <si>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</si>
  <si>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</si>
  <si>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</si>
  <si>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</si>
  <si>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</si>
  <si>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</si>
  <si>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</si>
  <si>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</si>
  <si>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</si>
  <si>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</si>
  <si>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</si>
  <si>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</si>
  <si>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</si>
  <si>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</si>
  <si>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</si>
  <si>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</si>
  <si>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</si>
  <si>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</si>
  <si>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</si>
  <si>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</si>
  <si>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</si>
  <si>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</si>
  <si>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</si>
  <si>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</si>
  <si>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</si>
  <si>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</si>
  <si>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</si>
  <si>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</si>
  <si>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</si>
  <si>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</si>
  <si>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</si>
  <si>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</si>
  <si>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</si>
  <si>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</si>
  <si>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</si>
  <si>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</si>
  <si>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</si>
  <si>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</si>
  <si>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</si>
  <si>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</si>
  <si>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</si>
  <si>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</si>
  <si>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</si>
  <si>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</si>
  <si>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</si>
  <si>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</si>
  <si>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</si>
  <si>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</si>
  <si>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</si>
  <si>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</si>
  <si>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</si>
  <si>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</si>
  <si>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</si>
  <si>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</si>
  <si>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</si>
  <si>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</si>
  <si>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</si>
  <si>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</si>
  <si>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</si>
  <si>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</si>
  <si>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</si>
  <si>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</si>
  <si>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</si>
  <si>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</si>
  <si>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</si>
  <si>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</si>
  <si>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</si>
  <si>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</si>
  <si>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</si>
  <si>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</si>
  <si>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</si>
  <si>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</si>
  <si>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</si>
  <si>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</si>
  <si>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</si>
  <si>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</si>
  <si>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</si>
  <si>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</si>
  <si>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</si>
  <si>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</si>
  <si>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</si>
  <si>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</si>
  <si>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</si>
  <si>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</si>
  <si>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</si>
  <si>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</si>
  <si>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</si>
  <si>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</si>
  <si>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</si>
  <si>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</si>
  <si>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</si>
  <si>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</si>
  <si>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</si>
  <si>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</si>
  <si>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</si>
  <si>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</si>
  <si>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</si>
  <si>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</si>
  <si>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</si>
  <si>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</si>
  <si>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</si>
  <si>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</si>
  <si>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</si>
  <si>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</si>
  <si>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</si>
  <si>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</si>
  <si>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</si>
  <si>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</si>
  <si>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</si>
  <si>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</si>
  <si>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</si>
  <si>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</si>
  <si>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</si>
  <si>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</si>
  <si>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</si>
  <si>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</si>
  <si>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</si>
  <si>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</si>
  <si>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</si>
  <si>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</si>
  <si>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</si>
  <si>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</si>
  <si>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</si>
  <si>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</si>
  <si>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</si>
  <si>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</si>
  <si>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</si>
  <si>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</si>
  <si>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</si>
  <si>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</si>
  <si>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</si>
  <si>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</si>
  <si>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</si>
  <si>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</si>
  <si>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</si>
  <si>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</si>
  <si>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</si>
  <si>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</si>
  <si>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</si>
  <si>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</si>
  <si>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</si>
  <si>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</si>
  <si>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</si>
  <si>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</si>
  <si>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</si>
  <si>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</si>
  <si>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</si>
  <si>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</si>
  <si>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</si>
  <si>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</si>
  <si>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</si>
  <si>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</si>
  <si>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</si>
  <si>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</si>
  <si>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</si>
  <si>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</si>
  <si>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</si>
  <si>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</si>
  <si>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</si>
  <si>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</si>
  <si>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</si>
  <si>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</si>
  <si>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</si>
  <si>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</si>
  <si>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</si>
  <si>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</si>
  <si>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</si>
  <si>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</si>
  <si>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</si>
  <si>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</si>
  <si>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</si>
  <si>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</si>
  <si>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</si>
  <si>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</si>
  <si>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</si>
  <si>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</si>
  <si>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</si>
  <si>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</si>
  <si>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</si>
  <si>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</si>
  <si>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</si>
  <si>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</si>
  <si>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</si>
  <si>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</si>
  <si>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</si>
  <si>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</si>
  <si>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</si>
  <si>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</si>
  <si>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</si>
  <si>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</si>
  <si>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</si>
  <si>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</si>
  <si>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</si>
  <si>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</si>
  <si>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</si>
  <si>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</si>
  <si>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</si>
  <si>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</si>
  <si>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</si>
  <si>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</si>
  <si>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</si>
  <si>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</si>
  <si>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</si>
  <si>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</si>
  <si>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</si>
  <si>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</si>
  <si>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</si>
  <si>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</si>
  <si>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</si>
  <si>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</si>
  <si>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</si>
  <si>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</si>
  <si>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</si>
  <si>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</si>
  <si>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</si>
  <si>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</si>
  <si>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</si>
  <si>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</si>
  <si>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</si>
  <si>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</si>
  <si>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</si>
  <si>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</si>
  <si>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</si>
  <si>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</si>
  <si>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</si>
  <si>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</si>
  <si>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</si>
  <si>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</si>
  <si>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</si>
  <si>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</si>
  <si>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</si>
  <si>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</si>
  <si>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</si>
  <si>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</si>
  <si>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</si>
  <si>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</si>
  <si>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</si>
  <si>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</si>
  <si>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</si>
  <si>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</si>
  <si>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</si>
  <si>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</si>
  <si>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</si>
  <si>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</si>
  <si>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</si>
  <si>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</si>
  <si>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</si>
  <si>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</si>
  <si>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</si>
  <si>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</si>
  <si>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</si>
  <si>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</si>
  <si>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</si>
  <si>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</si>
  <si>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</si>
  <si>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</si>
  <si>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</si>
  <si>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</si>
  <si>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</si>
  <si>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</si>
  <si>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</si>
  <si>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</si>
  <si>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</si>
  <si>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</si>
  <si>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</si>
  <si>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</si>
  <si>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</si>
  <si>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</si>
  <si>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</si>
  <si>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</si>
  <si>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</si>
  <si>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</si>
  <si>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</si>
  <si>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</si>
  <si>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</si>
  <si>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</si>
  <si>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</si>
  <si>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</si>
  <si>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</si>
  <si>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</si>
  <si>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</si>
  <si>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</si>
  <si>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</si>
  <si>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</si>
  <si>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</si>
  <si>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</si>
  <si>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</si>
  <si>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</si>
  <si>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</si>
  <si>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</si>
  <si>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</si>
  <si>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</si>
  <si>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</si>
  <si>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</si>
  <si>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</si>
  <si>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</si>
  <si>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</si>
  <si>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</si>
  <si>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</si>
  <si>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</si>
  <si>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</si>
  <si>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</si>
  <si>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</si>
  <si>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</si>
  <si>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</si>
  <si>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</si>
  <si>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</si>
  <si>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</si>
  <si>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</si>
  <si>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</si>
  <si>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</si>
  <si>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</si>
  <si>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</si>
  <si>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</si>
  <si>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</si>
  <si>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</si>
  <si>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</si>
  <si>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</si>
  <si>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</si>
  <si>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</si>
  <si>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</si>
  <si>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</si>
  <si>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</si>
  <si>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</si>
  <si>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</si>
  <si>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</si>
  <si>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</si>
  <si>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</si>
  <si>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</si>
  <si>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</si>
  <si>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</si>
  <si>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</si>
  <si>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</si>
  <si>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</si>
  <si>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</si>
  <si>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</si>
  <si>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</si>
  <si>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</si>
  <si>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</si>
  <si>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</si>
  <si>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</si>
  <si>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</si>
  <si>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</si>
  <si>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</si>
  <si>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</si>
  <si>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</si>
  <si>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</si>
  <si>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</si>
  <si>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</si>
  <si>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</si>
  <si>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</si>
  <si>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</si>
  <si>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</si>
  <si>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</si>
  <si>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</si>
  <si>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</si>
  <si>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</si>
  <si>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</si>
  <si>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</si>
  <si>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</si>
  <si>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</si>
  <si>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</si>
  <si>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</si>
  <si>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</si>
  <si>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</si>
  <si>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</si>
  <si>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</si>
  <si>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</si>
  <si>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</si>
  <si>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</si>
  <si>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</si>
  <si>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</si>
  <si>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</si>
  <si>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</si>
  <si>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</si>
  <si>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</si>
  <si>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</si>
  <si>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</si>
  <si>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</si>
  <si>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</si>
  <si>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</si>
  <si>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</si>
  <si>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</si>
  <si>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</si>
  <si>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</si>
  <si>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</si>
  <si>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</si>
  <si>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</si>
  <si>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</si>
  <si>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</si>
  <si>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</si>
  <si>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</si>
  <si>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</si>
  <si>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</si>
  <si>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</si>
  <si>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</si>
  <si>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</si>
  <si>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</si>
  <si>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</si>
  <si>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</si>
  <si>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</si>
  <si>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</si>
  <si>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</si>
  <si>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</si>
  <si>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</si>
  <si>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</si>
  <si>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</si>
  <si>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</si>
  <si>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</si>
  <si>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</si>
  <si>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</si>
  <si>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</si>
  <si>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</si>
  <si>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</si>
  <si>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</si>
  <si>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</si>
  <si>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</si>
  <si>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</si>
  <si>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</si>
  <si>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</si>
  <si>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</si>
  <si>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</si>
  <si>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</si>
  <si>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</si>
  <si>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</si>
  <si>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</si>
  <si>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</si>
  <si>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</si>
  <si>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</si>
  <si>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</si>
  <si>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</si>
  <si>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</si>
  <si>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</si>
  <si>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</si>
  <si>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</si>
  <si>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</si>
  <si>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</si>
  <si>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</si>
  <si>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</si>
  <si>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</si>
  <si>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</si>
  <si>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</si>
  <si>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</si>
  <si>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</si>
  <si>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</si>
  <si>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</si>
  <si>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</si>
  <si>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</si>
  <si>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</si>
  <si>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</si>
  <si>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</si>
  <si>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</si>
  <si>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</si>
  <si>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</si>
  <si>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</si>
  <si>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</si>
  <si>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</si>
  <si>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</si>
  <si>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</si>
  <si>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</si>
  <si>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</si>
  <si>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</si>
  <si>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</si>
  <si>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</si>
  <si>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</si>
  <si>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</si>
  <si>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</si>
  <si>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</si>
  <si>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</si>
  <si>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</si>
  <si>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</si>
  <si>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</si>
  <si>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</si>
  <si>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</si>
  <si>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</si>
  <si>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</si>
  <si>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</si>
  <si>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</si>
  <si>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</si>
  <si>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</si>
  <si>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</si>
  <si>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</si>
  <si>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</si>
  <si>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</si>
  <si>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</si>
  <si>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</si>
  <si>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</si>
  <si>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</si>
  <si>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</si>
  <si>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</si>
  <si>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</si>
  <si>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</si>
  <si>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</si>
  <si>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</si>
  <si>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</si>
  <si>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</si>
  <si>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</si>
  <si>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</si>
  <si>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</si>
  <si>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</si>
  <si>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</si>
  <si>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</si>
  <si>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</si>
  <si>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</si>
  <si>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</si>
  <si>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</si>
  <si>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</si>
  <si>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</si>
  <si>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</si>
  <si>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</si>
  <si>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</si>
  <si>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</si>
  <si>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</si>
  <si>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</si>
  <si>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</si>
  <si>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</si>
  <si>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</si>
  <si>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</si>
  <si>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</si>
  <si>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</si>
  <si>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</si>
  <si>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</si>
  <si>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</si>
  <si>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</si>
  <si>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</si>
  <si>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</si>
  <si>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</si>
  <si>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</si>
  <si>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</si>
  <si>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</si>
  <si>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</si>
  <si>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</si>
  <si>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</si>
  <si>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</si>
  <si>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</si>
  <si>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</si>
  <si>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</si>
  <si>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</si>
  <si>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</si>
  <si>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</si>
  <si>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</si>
  <si>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</si>
  <si>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</si>
  <si>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</si>
  <si>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</si>
  <si>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</si>
  <si>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</si>
  <si>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</si>
  <si>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</si>
  <si>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</si>
  <si>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</si>
  <si>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</si>
  <si>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</si>
  <si>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</si>
  <si>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</si>
  <si>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</si>
  <si>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</si>
  <si>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</si>
  <si>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</si>
  <si>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</si>
  <si>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</si>
  <si>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</si>
  <si>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</si>
  <si>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</si>
  <si>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</si>
  <si>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</si>
  <si>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</si>
  <si>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</si>
  <si>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</si>
  <si>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</si>
  <si>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</si>
  <si>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</si>
  <si>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</si>
  <si>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</si>
  <si>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</si>
  <si>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</si>
  <si>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</si>
  <si>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</si>
  <si>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</si>
  <si>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</si>
  <si>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</si>
  <si>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</si>
  <si>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</si>
  <si>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</si>
  <si>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</si>
  <si>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</si>
  <si>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</si>
  <si>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</si>
  <si>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</si>
  <si>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</si>
  <si>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</si>
  <si>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</si>
  <si>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</si>
  <si>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</si>
  <si>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</si>
  <si>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</si>
  <si>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</si>
  <si>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</si>
  <si>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</si>
  <si>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</si>
  <si>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</si>
  <si>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</si>
  <si>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</si>
  <si>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</si>
  <si>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</si>
  <si>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</si>
  <si>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</si>
  <si>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</si>
  <si>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</si>
  <si>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</si>
  <si>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</si>
  <si>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</si>
  <si>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</si>
  <si>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</si>
  <si>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</si>
  <si>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</si>
  <si>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</si>
  <si>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</si>
  <si>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</si>
  <si>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</si>
  <si>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</si>
  <si>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</si>
  <si>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</si>
  <si>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</si>
  <si>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</si>
  <si>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</si>
  <si>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</si>
  <si>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</si>
  <si>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</si>
  <si>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</si>
  <si>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</si>
  <si>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</si>
  <si>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</si>
  <si>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</si>
  <si>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</si>
  <si>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</si>
  <si>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</si>
  <si>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</si>
  <si>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</si>
  <si>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</si>
  <si>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</si>
  <si>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</si>
  <si>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</si>
  <si>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</si>
  <si>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</si>
  <si>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</si>
  <si>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</si>
  <si>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</si>
  <si>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</si>
  <si>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</si>
  <si>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</si>
  <si>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</si>
  <si>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</si>
  <si>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</si>
  <si>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</si>
  <si>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</si>
  <si>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</si>
  <si>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</si>
  <si>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</si>
  <si>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</si>
  <si>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</si>
  <si>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</si>
  <si>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</si>
  <si>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</si>
  <si>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</si>
  <si>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</si>
  <si>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</si>
  <si>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</si>
  <si>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</si>
  <si>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</si>
  <si>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</si>
  <si>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</si>
  <si>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</si>
  <si>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</si>
  <si>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</si>
  <si>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</si>
  <si>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</si>
  <si>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</si>
  <si>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</si>
  <si>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</si>
  <si>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</si>
  <si>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</si>
  <si>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</si>
  <si>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</si>
  <si>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</si>
  <si>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</si>
  <si>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</si>
  <si>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</si>
  <si>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</si>
  <si>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</si>
  <si>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</si>
  <si>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</si>
  <si>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</si>
  <si>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</si>
  <si>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</si>
  <si>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</si>
  <si>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</si>
  <si>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</si>
  <si>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</si>
  <si>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</si>
  <si>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</si>
  <si>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</si>
  <si>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</si>
  <si>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</si>
  <si>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</si>
  <si>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</si>
  <si>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</si>
  <si>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</si>
  <si>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</si>
  <si>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</si>
  <si>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</si>
  <si>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</si>
  <si>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</si>
  <si>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</si>
  <si>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</si>
  <si>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</si>
  <si>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</si>
  <si>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</si>
  <si>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</si>
  <si>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</si>
  <si>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</si>
  <si>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</si>
  <si>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</si>
  <si>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</si>
  <si>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</si>
  <si>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</si>
  <si>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</si>
  <si>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</si>
  <si>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</si>
  <si>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</si>
  <si>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</si>
  <si>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</si>
  <si>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</si>
  <si>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</si>
  <si>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</si>
  <si>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</si>
  <si>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</si>
  <si>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</si>
  <si>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</si>
  <si>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</si>
  <si>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</si>
  <si>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</si>
  <si>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</si>
  <si>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</si>
  <si>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</si>
  <si>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</si>
  <si>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</si>
  <si>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</si>
  <si>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</si>
  <si>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</si>
  <si>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</si>
  <si>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</si>
  <si>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</si>
  <si>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</si>
  <si>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</si>
  <si>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</si>
  <si>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</si>
  <si>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</si>
  <si>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</si>
  <si>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</si>
  <si>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</si>
  <si>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</si>
  <si>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</si>
  <si>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</si>
  <si>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</si>
  <si>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</si>
  <si>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</si>
  <si>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</si>
  <si>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</si>
  <si>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</si>
  <si>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</si>
  <si>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</si>
  <si>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</si>
  <si>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</si>
  <si>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</si>
  <si>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</si>
  <si>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</si>
  <si>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</si>
  <si>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</si>
  <si>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</si>
  <si>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</si>
  <si>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</si>
  <si>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</si>
  <si>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</si>
  <si>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</si>
  <si>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</si>
  <si>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</si>
  <si>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</si>
  <si>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</si>
  <si>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</si>
  <si>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</si>
  <si>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</si>
  <si>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</si>
  <si>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</si>
  <si>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</si>
  <si>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</si>
  <si>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</si>
  <si>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</si>
  <si>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</si>
  <si>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</si>
  <si>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</si>
  <si>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</si>
  <si>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</si>
  <si>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</si>
  <si>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</si>
  <si>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</si>
  <si>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</si>
  <si>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</si>
  <si>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</si>
  <si>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</si>
  <si>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</si>
  <si>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</si>
  <si>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</si>
  <si>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</si>
  <si>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</si>
  <si>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</si>
  <si>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</si>
  <si>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</si>
  <si>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</si>
  <si>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</si>
  <si>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</si>
  <si>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</si>
  <si>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</si>
  <si>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</si>
  <si>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</si>
  <si>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</si>
  <si>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</si>
  <si>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</si>
  <si>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</si>
  <si>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</si>
  <si>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</si>
  <si>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</si>
  <si>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</si>
  <si>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</si>
  <si>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</si>
  <si>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</si>
  <si>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</si>
  <si>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</si>
  <si>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</si>
  <si>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</si>
  <si>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</si>
  <si>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</si>
  <si>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</si>
  <si>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</si>
  <si>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</si>
  <si>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</si>
  <si>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</si>
  <si>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</si>
  <si>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</si>
  <si>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</si>
  <si>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</si>
  <si>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</si>
  <si>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</si>
  <si>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</si>
  <si>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</si>
  <si>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</si>
  <si>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</si>
  <si>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</si>
  <si>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</si>
  <si>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</si>
  <si>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</si>
  <si>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</si>
  <si>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</si>
  <si>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</si>
  <si>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</si>
  <si>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</si>
  <si>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</si>
  <si>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</si>
  <si>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</si>
  <si>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</si>
  <si>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</si>
  <si>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</si>
  <si>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</si>
  <si>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</si>
  <si>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</si>
  <si>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</si>
  <si>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</si>
  <si>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</si>
  <si>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</si>
  <si>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</si>
  <si>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</si>
  <si>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</si>
  <si>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</si>
  <si>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</si>
  <si>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</si>
  <si>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</si>
  <si>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</si>
  <si>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</si>
  <si>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</si>
  <si>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</si>
  <si>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</si>
  <si>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</si>
  <si>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</si>
  <si>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</si>
  <si>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</si>
  <si>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</si>
  <si>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</si>
  <si>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</si>
  <si>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</si>
  <si>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</si>
  <si>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</si>
  <si>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</si>
  <si>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</si>
  <si>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</si>
  <si>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</si>
  <si>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</si>
  <si>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</si>
  <si>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</si>
  <si>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</si>
  <si>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</si>
  <si>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</si>
  <si>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</si>
  <si>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</si>
  <si>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</si>
  <si>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</si>
  <si>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</si>
  <si>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</si>
  <si>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</si>
  <si>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</si>
  <si>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</si>
  <si>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</si>
  <si>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</si>
  <si>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</si>
  <si>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</si>
  <si>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</si>
  <si>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</si>
  <si>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</si>
  <si>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</si>
  <si>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</si>
  <si>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</si>
  <si>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</si>
  <si>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</si>
  <si>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</si>
  <si>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</si>
  <si>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</si>
  <si>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</si>
  <si>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</si>
  <si>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</si>
  <si>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</si>
  <si>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</si>
  <si>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</si>
  <si>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</si>
  <si>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</si>
  <si>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</si>
  <si>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</si>
  <si>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</si>
  <si>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</si>
  <si>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</si>
  <si>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</si>
  <si>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</si>
  <si>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</si>
  <si>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</si>
  <si>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</si>
  <si>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</si>
  <si>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</si>
  <si>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</si>
  <si>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</si>
  <si>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</si>
  <si>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</si>
  <si>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</si>
  <si>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</si>
  <si>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</si>
  <si>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</si>
  <si>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</si>
  <si>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</si>
  <si>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</si>
  <si>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</si>
  <si>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</si>
  <si>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</si>
  <si>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</si>
  <si>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</si>
  <si>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</si>
  <si>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</si>
  <si>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</si>
  <si>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</si>
  <si>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</si>
  <si>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</si>
  <si>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</si>
  <si>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</si>
  <si>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</si>
  <si>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</si>
  <si>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</si>
  <si>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</si>
  <si>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</si>
  <si>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</si>
  <si>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</si>
  <si>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</si>
  <si>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</si>
  <si>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</si>
  <si>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</si>
  <si>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</si>
  <si>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</si>
  <si>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</si>
  <si>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</si>
  <si>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</si>
  <si>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</si>
  <si>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</si>
  <si>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</si>
  <si>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</si>
  <si>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</si>
  <si>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</si>
  <si>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</si>
  <si>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</si>
  <si>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</si>
  <si>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</si>
  <si>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</si>
  <si>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</si>
  <si>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</si>
  <si>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</si>
  <si>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</si>
  <si>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</si>
  <si>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</si>
  <si>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</si>
  <si>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</si>
  <si>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</si>
  <si>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</si>
  <si>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</si>
  <si>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</si>
  <si>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</si>
  <si>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</si>
  <si>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</si>
  <si>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</si>
  <si>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</si>
  <si>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</si>
  <si>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</si>
  <si>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</si>
  <si>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</si>
  <si>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</si>
  <si>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</si>
  <si>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</si>
  <si>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</si>
  <si>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</si>
  <si>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</si>
  <si>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</si>
  <si>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</si>
  <si>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</si>
  <si>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</si>
  <si>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</si>
  <si>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</si>
  <si>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</si>
  <si>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</si>
  <si>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</si>
  <si>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</si>
  <si>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</si>
  <si>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</si>
  <si>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</si>
  <si>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</si>
  <si>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</si>
  <si>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</si>
  <si>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</si>
  <si>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</si>
  <si>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</si>
  <si>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</si>
  <si>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</si>
  <si>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</si>
  <si>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</si>
  <si>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</si>
  <si>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</si>
  <si>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</si>
  <si>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</si>
  <si>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</si>
  <si>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</si>
  <si>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</si>
  <si>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</si>
  <si>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</si>
  <si>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</si>
  <si>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</si>
  <si>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</si>
  <si>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</si>
  <si>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</si>
  <si>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</si>
  <si>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</si>
  <si>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</si>
  <si>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</si>
  <si>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</si>
  <si>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</si>
  <si>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</si>
  <si>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</si>
  <si>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</si>
  <si>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</si>
  <si>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</si>
  <si>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</si>
  <si>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</si>
  <si>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</si>
  <si>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</si>
  <si>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</si>
  <si>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</si>
  <si>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</si>
  <si>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</si>
  <si>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</si>
  <si>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</si>
  <si>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</si>
  <si>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</si>
  <si>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</si>
  <si>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</si>
  <si>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</si>
  <si>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</si>
  <si>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</si>
  <si>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</si>
  <si>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</si>
  <si>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</si>
  <si>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</si>
  <si>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</si>
  <si>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</si>
  <si>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</si>
  <si>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</si>
  <si>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</si>
  <si>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</si>
  <si>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</si>
  <si>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</si>
  <si>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</si>
  <si>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</si>
  <si>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</si>
  <si>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</si>
  <si>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</si>
  <si>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</si>
  <si>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</si>
  <si>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</si>
  <si>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</si>
  <si>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</si>
  <si>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</si>
  <si>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</si>
  <si>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</si>
  <si>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</si>
  <si>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</si>
  <si>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</si>
  <si>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</si>
  <si>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</si>
  <si>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</si>
  <si>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</si>
  <si>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</si>
  <si>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</si>
  <si>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</si>
  <si>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</si>
  <si>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</si>
  <si>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</si>
  <si>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</si>
  <si>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</si>
  <si>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</si>
  <si>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</si>
  <si>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</si>
  <si>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</si>
  <si>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</si>
  <si>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</si>
  <si>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</si>
  <si>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</si>
  <si>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</si>
  <si>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</si>
  <si>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</si>
  <si>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</si>
  <si>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</si>
  <si>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</si>
  <si>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</si>
  <si>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</si>
  <si>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</si>
  <si>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</si>
  <si>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</si>
  <si>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</si>
  <si>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</si>
  <si>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</si>
  <si>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</si>
  <si>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</si>
  <si>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Avergae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</si>
  <si>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</si>
  <si>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</si>
  <si>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</si>
  <si>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</si>
  <si>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</si>
  <si>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</si>
  <si>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</si>
  <si>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</si>
  <si>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</si>
  <si>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</si>
  <si>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</si>
  <si>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</si>
  <si>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</si>
  <si>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</si>
  <si>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</si>
  <si>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</si>
  <si>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</si>
  <si>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</si>
  <si>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</si>
  <si>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</si>
  <si>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</si>
  <si>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</si>
  <si>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</si>
  <si>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</si>
  <si>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</si>
  <si>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</si>
  <si>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</si>
  <si>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</si>
  <si>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</si>
  <si>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</si>
  <si>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</si>
  <si>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</si>
  <si>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</si>
  <si>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</si>
  <si>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</si>
  <si>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</si>
  <si>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</si>
  <si>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</si>
  <si>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</si>
  <si>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</si>
  <si>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</si>
  <si>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</si>
  <si>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</si>
  <si>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</si>
  <si>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</si>
  <si>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</si>
  <si>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</si>
  <si>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</si>
  <si>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</si>
  <si>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</si>
  <si>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</si>
  <si>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</si>
  <si>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</si>
  <si>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</si>
  <si>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</si>
  <si>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</si>
  <si>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</si>
  <si>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</si>
  <si>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</si>
  <si>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</si>
  <si>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</si>
  <si>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</si>
  <si>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</si>
  <si>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</si>
  <si>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</si>
  <si>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</si>
  <si>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</si>
  <si>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</si>
  <si>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</si>
  <si>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</si>
  <si>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</si>
  <si>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</si>
  <si>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</si>
  <si>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</si>
  <si>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</si>
  <si>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</si>
  <si>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</si>
  <si>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</si>
  <si>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</si>
  <si>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</si>
  <si>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</si>
  <si>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</si>
  <si>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Upper Quartile of Goal</t>
  </si>
  <si>
    <t>Lowe Quartile of Goal</t>
  </si>
  <si>
    <t>IQR of Goal</t>
  </si>
  <si>
    <t>Standard Deviation of Goal</t>
  </si>
  <si>
    <t>Standard Deviation of Pledged</t>
  </si>
  <si>
    <t>Upper Quartile of Pledged</t>
  </si>
  <si>
    <t>Lowe Quartile of Pledged</t>
  </si>
  <si>
    <t>IQR of Pledged</t>
  </si>
  <si>
    <t>Year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</si>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</sst>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2" borderId="1" xfId="0" applyFill="1" applyBorder="1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Month</a:t>
            </a:r>
            <a:endParaRPr lang="en-US"/>
          </a:p>
        </c:rich>
      </c:tx>
      <c:layout>
        <c:manualLayout>
          <c:xMode val="edge"/>
          <c:yMode val="edge"/>
          <c:x val="0.26755555555555555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5-418E-B1F9-5C531735020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D5-418E-B1F9-5C531735020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D5-418E-B1F9-5C5317350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092335"/>
        <c:axId val="103093583"/>
      </c:lineChart>
      <c:catAx>
        <c:axId val="10309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3583"/>
        <c:crosses val="autoZero"/>
        <c:auto val="1"/>
        <c:lblAlgn val="ctr"/>
        <c:lblOffset val="100"/>
        <c:noMultiLvlLbl val="0"/>
      </c:catAx>
      <c:valAx>
        <c:axId val="10309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Goals</a:t>
            </a:r>
          </a:p>
        </c:rich>
      </c:tx>
      <c:layout>
        <c:manualLayout>
          <c:xMode val="edge"/>
          <c:yMode val="edge"/>
          <c:x val="0.4062047004760852"/>
          <c:y val="3.69063633254202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7-46FF-8FD6-BD53DE9D3274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7-46FF-8FD6-BD53DE9D3274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97-46FF-8FD6-BD53DE9D3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297071"/>
        <c:axId val="1752299151"/>
      </c:lineChart>
      <c:catAx>
        <c:axId val="17522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99151"/>
        <c:crosses val="autoZero"/>
        <c:auto val="1"/>
        <c:lblAlgn val="ctr"/>
        <c:lblOffset val="100"/>
        <c:noMultiLvlLbl val="0"/>
      </c:catAx>
      <c:valAx>
        <c:axId val="17522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237970253718283"/>
          <c:y val="0.1019393620790144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6-4B7D-8BB0-14B0F0496A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6-4B7D-8BB0-14B0F0496A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06-4B7D-8BB0-14B0F0496A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06-4B7D-8BB0-14B0F049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186863"/>
        <c:axId val="26195183"/>
      </c:barChart>
      <c:catAx>
        <c:axId val="2618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95183"/>
        <c:crosses val="autoZero"/>
        <c:auto val="1"/>
        <c:lblAlgn val="ctr"/>
        <c:lblOffset val="100"/>
        <c:noMultiLvlLbl val="0"/>
      </c:catAx>
      <c:valAx>
        <c:axId val="261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7-4106-8A03-59FBC10AE1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7-4106-8A03-59FBC10AE1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7-4106-8A03-59FBC10AE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506063"/>
        <c:axId val="1106509391"/>
      </c:barChart>
      <c:catAx>
        <c:axId val="110650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09391"/>
        <c:crosses val="autoZero"/>
        <c:auto val="1"/>
        <c:lblAlgn val="ctr"/>
        <c:lblOffset val="100"/>
        <c:noMultiLvlLbl val="0"/>
      </c:catAx>
      <c:valAx>
        <c:axId val="110650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0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2-42AF-BE81-70E83EBDDF5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52-42AF-BE81-70E83EBDDF5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52-42AF-BE81-70E83EBDDF5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52-42AF-BE81-70E83EB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3516463"/>
        <c:axId val="2143506895"/>
      </c:lineChart>
      <c:catAx>
        <c:axId val="214351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506895"/>
        <c:crosses val="autoZero"/>
        <c:auto val="1"/>
        <c:lblAlgn val="ctr"/>
        <c:lblOffset val="100"/>
        <c:noMultiLvlLbl val="0"/>
      </c:catAx>
      <c:valAx>
        <c:axId val="214350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51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3</xdr:row>
      <xdr:rowOff>15875</xdr:rowOff>
    </xdr:from>
    <xdr:to>
      <xdr:col>12</xdr:col>
      <xdr:colOff>444500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D7904-2336-4D2B-96A2-5CF2921AF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429932</xdr:colOff>
      <xdr:row>1</xdr:row>
      <xdr:rowOff>56215</xdr:rowOff>
    </xdr:from>
    <xdr:to>
      <xdr:col>15</xdr:col>
      <xdr:colOff>433667</xdr:colOff>
      <xdr:row>19</xdr:row>
      <xdr:rowOff>135592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5E37D-4E61-4190-8553-A57FD1B03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34925</xdr:rowOff>
    </xdr:from>
    <xdr:to>
      <xdr:col>12</xdr:col>
      <xdr:colOff>361950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03F98-C237-4A43-83C8-C317D6CA5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180975</xdr:rowOff>
    </xdr:from>
    <xdr:to>
      <xdr:col>12</xdr:col>
      <xdr:colOff>222250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ED9F1-10EE-41FA-9B6E-5C1BAC913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161925</xdr:rowOff>
    </xdr:from>
    <xdr:to>
      <xdr:col>13</xdr:col>
      <xdr:colOff>488950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F9A8B-E8B5-4190-B7ED-6E8B7FEAA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. Abouei" refreshedDate="44801.807540162037" createdVersion="7" refreshedVersion="7" minRefreshableVersion="3" recordCount="4114" xr:uid="{90025345-AD61-4B6E-9FBB-059E78617C6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. Abouei" refreshedDate="44801.830083564812" createdVersion="7" refreshedVersion="7" minRefreshableVersion="3" recordCount="4114" xr:uid="{C1FF0133-4850-4A2F-950B-589A927D454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. Abouei" refreshedDate="44802.519156249997" createdVersion="7" refreshedVersion="7" minRefreshableVersion="3" recordCount="4114" xr:uid="{593C9BAF-937F-4A4A-8B43-07EBDD1FB1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DC335-47E5-4B94-9FAB-A3CBA5D9AB7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EE5EA-F462-46F5-9842-0B16361E9F1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C05DF-2E3B-4D84-A8E9-266933AB93A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1441F-AF36-4201-96EA-1EB4F4723FB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C6" sqref="C6"/>
    </sheetView>
  </sheetViews>
  <sheetFormatPr defaultColWidth="8.81640625" defaultRowHeight="14.5" x14ac:dyDescent="0.35"/>
  <cols>
    <col min="1" max="1" width="5.08984375" bestFit="1" customWidth="1"/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8364</v>
      </c>
      <c r="T1" s="1" t="s">
        <v>8365</v>
      </c>
      <c r="U1" s="1" t="s">
        <v>8398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(((J2/60)/60/24)+DATE(1970,1,1))</f>
        <v>42177.007071759261</v>
      </c>
      <c r="T2" s="15">
        <f>(((I2/60)/60/24)+DATE(1970,1,1))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(((J67/60)/60/24)+DATE(1970,1,1))</f>
        <v>41835.821226851855</v>
      </c>
      <c r="T67" s="15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(((J131/60)/60/24)+DATE(1970,1,1))</f>
        <v>41882.937303240738</v>
      </c>
      <c r="T131" s="15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(((J195/60)/60/24)+DATE(1970,1,1))</f>
        <v>41911.934791666667</v>
      </c>
      <c r="T195" s="15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(((J259/60)/60/24)+DATE(1970,1,1))</f>
        <v>42479.626875000002</v>
      </c>
      <c r="T259" s="15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(((J323/60)/60/24)+DATE(1970,1,1))</f>
        <v>42647.446597222224</v>
      </c>
      <c r="T323" s="15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(((J387/60)/60/24)+DATE(1970,1,1))</f>
        <v>41934.584502314814</v>
      </c>
      <c r="T387" s="15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(((J451/60)/60/24)+DATE(1970,1,1))</f>
        <v>41534.568113425928</v>
      </c>
      <c r="T451" s="15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(((J515/60)/60/24)+DATE(1970,1,1))</f>
        <v>42552.653993055559</v>
      </c>
      <c r="T515" s="15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(((J579/60)/60/24)+DATE(1970,1,1))</f>
        <v>42450.589143518519</v>
      </c>
      <c r="T579" s="15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(((J643/60)/60/24)+DATE(1970,1,1))</f>
        <v>42199.57</v>
      </c>
      <c r="T643" s="15">
        <f t="shared" ref="T643:T706" si="53">(((I643/60)/60/24)+DATE(1970,1,1))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(((J707/60)/60/24)+DATE(1970,1,1))</f>
        <v>42726.491643518515</v>
      </c>
      <c r="T707" s="15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(((J771/60)/60/24)+DATE(1970,1,1))</f>
        <v>41604.996458333335</v>
      </c>
      <c r="T771" s="15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(((J835/60)/60/24)+DATE(1970,1,1))</f>
        <v>41718.878182870372</v>
      </c>
      <c r="T835" s="15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(((J899/60)/60/24)+DATE(1970,1,1))</f>
        <v>41211.688750000001</v>
      </c>
      <c r="T899" s="15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(((J963/60)/60/24)+DATE(1970,1,1))</f>
        <v>42740.693692129629</v>
      </c>
      <c r="T963" s="15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(((J1027/60)/60/24)+DATE(1970,1,1))</f>
        <v>42049.833761574075</v>
      </c>
      <c r="T1027" s="15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(((J1091/60)/60/24)+DATE(1970,1,1))</f>
        <v>42151.189525462964</v>
      </c>
      <c r="T1091" s="15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(((J1155/60)/60/24)+DATE(1970,1,1))</f>
        <v>42143.714178240742</v>
      </c>
      <c r="T1155" s="15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(((J1219/60)/60/24)+DATE(1970,1,1))</f>
        <v>42535.809490740736</v>
      </c>
      <c r="T1219" s="15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(((J1283/60)/60/24)+DATE(1970,1,1))</f>
        <v>41463.743472222224</v>
      </c>
      <c r="T1283" s="15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(((J1347/60)/60/24)+DATE(1970,1,1))</f>
        <v>41799.814340277779</v>
      </c>
      <c r="T1347" s="15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(((J1411/60)/60/24)+DATE(1970,1,1))</f>
        <v>41945.133506944447</v>
      </c>
      <c r="T1411" s="15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(((J1475/60)/60/24)+DATE(1970,1,1))</f>
        <v>40939.979618055557</v>
      </c>
      <c r="T1475" s="15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(((J1539/60)/60/24)+DATE(1970,1,1))</f>
        <v>42552.315127314811</v>
      </c>
      <c r="T1539" s="15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(((J1603/60)/60/24)+DATE(1970,1,1))</f>
        <v>40638.092974537038</v>
      </c>
      <c r="T1603" s="15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(((J1667/60)/60/24)+DATE(1970,1,1))</f>
        <v>40564.649456018517</v>
      </c>
      <c r="T1667" s="15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(((J1731/60)/60/24)+DATE(1970,1,1))</f>
        <v>42471.052152777775</v>
      </c>
      <c r="T1731" s="15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(((J1795/60)/60/24)+DATE(1970,1,1))</f>
        <v>41940.89166666667</v>
      </c>
      <c r="T1795" s="15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(((J1859/60)/60/24)+DATE(1970,1,1))</f>
        <v>41864.76866898148</v>
      </c>
      <c r="T1859" s="15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(((J1923/60)/60/24)+DATE(1970,1,1))</f>
        <v>41074.221562500003</v>
      </c>
      <c r="T1923" s="15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(((J1987/60)/60/24)+DATE(1970,1,1))</f>
        <v>42555.698738425926</v>
      </c>
      <c r="T1987" s="15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(((J2051/60)/60/24)+DATE(1970,1,1))</f>
        <v>41575.527349537035</v>
      </c>
      <c r="T2051" s="15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(((J2115/60)/60/24)+DATE(1970,1,1))</f>
        <v>41870.86546296296</v>
      </c>
      <c r="T2115" s="15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(((J2179/60)/60/24)+DATE(1970,1,1))</f>
        <v>42502.250775462962</v>
      </c>
      <c r="T2179" s="15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(((J2243/60)/60/24)+DATE(1970,1,1))</f>
        <v>42766.827546296292</v>
      </c>
      <c r="T2243" s="15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(((J2307/60)/60/24)+DATE(1970,1,1))</f>
        <v>41834.695277777777</v>
      </c>
      <c r="T2307" s="15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(((J2371/60)/60/24)+DATE(1970,1,1))</f>
        <v>42380.812627314815</v>
      </c>
      <c r="T2371" s="15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(((J2435/60)/60/24)+DATE(1970,1,1))</f>
        <v>42397.89980324074</v>
      </c>
      <c r="T2435" s="15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(((J2499/60)/60/24)+DATE(1970,1,1))</f>
        <v>40730.878912037035</v>
      </c>
      <c r="T2499" s="15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(((J2563/60)/60/24)+DATE(1970,1,1))</f>
        <v>42260.528807870374</v>
      </c>
      <c r="T2563" s="15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(((J2627/60)/60/24)+DATE(1970,1,1))</f>
        <v>42658.810277777782</v>
      </c>
      <c r="T2627" s="15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(((J2691/60)/60/24)+DATE(1970,1,1))</f>
        <v>42551.961689814809</v>
      </c>
      <c r="T2691" s="15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(((J2755/60)/60/24)+DATE(1970,1,1))</f>
        <v>41117.900729166664</v>
      </c>
      <c r="T2755" s="15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(((J2819/60)/60/24)+DATE(1970,1,1))</f>
        <v>42023.634976851856</v>
      </c>
      <c r="T2819" s="15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(((J2883/60)/60/24)+DATE(1970,1,1))</f>
        <v>41916.597638888888</v>
      </c>
      <c r="T2883" s="15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(((J2947/60)/60/24)+DATE(1970,1,1))</f>
        <v>42118.139583333337</v>
      </c>
      <c r="T2947" s="15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(((J3011/60)/60/24)+DATE(1970,1,1))</f>
        <v>41939.569907407407</v>
      </c>
      <c r="T3011" s="15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(((J3075/60)/60/24)+DATE(1970,1,1))</f>
        <v>42111.684027777781</v>
      </c>
      <c r="T3075" s="15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(((J3139/60)/60/24)+DATE(1970,1,1))</f>
        <v>42807.885057870371</v>
      </c>
      <c r="T3139" s="15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(((J3203/60)/60/24)+DATE(1970,1,1))</f>
        <v>41861.767094907409</v>
      </c>
      <c r="T3203" s="15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(((J3267/60)/60/24)+DATE(1970,1,1))</f>
        <v>42311.711979166663</v>
      </c>
      <c r="T3267" s="15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(((J3331/60)/60/24)+DATE(1970,1,1))</f>
        <v>41837.323009259257</v>
      </c>
      <c r="T3331" s="15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(((J3395/60)/60/24)+DATE(1970,1,1))</f>
        <v>41923.921643518523</v>
      </c>
      <c r="T3395" s="15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(((J3459/60)/60/24)+DATE(1970,1,1))</f>
        <v>42016.706678240742</v>
      </c>
      <c r="T3459" s="15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(((J3523/60)/60/24)+DATE(1970,1,1))</f>
        <v>41881.361342592594</v>
      </c>
      <c r="T3523" s="15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(((J3587/60)/60/24)+DATE(1970,1,1))</f>
        <v>41964.716319444444</v>
      </c>
      <c r="T3587" s="15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(((J3651/60)/60/24)+DATE(1970,1,1))</f>
        <v>41780.712893518517</v>
      </c>
      <c r="T3651" s="15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(((J3715/60)/60/24)+DATE(1970,1,1))</f>
        <v>42505.738032407404</v>
      </c>
      <c r="T3715" s="15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(((J3779/60)/60/24)+DATE(1970,1,1))</f>
        <v>41887.111354166671</v>
      </c>
      <c r="T3779" s="15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(((J3843/60)/60/24)+DATE(1970,1,1))</f>
        <v>41780.785729166666</v>
      </c>
      <c r="T3843" s="15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(((J3907/60)/60/24)+DATE(1970,1,1))</f>
        <v>42124.623877314814</v>
      </c>
      <c r="T3907" s="15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(((J3971/60)/60/24)+DATE(1970,1,1))</f>
        <v>42601.854699074072</v>
      </c>
      <c r="T3971" s="15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(((J4035/60)/60/24)+DATE(1970,1,1))</f>
        <v>42614.268796296295</v>
      </c>
      <c r="T4035" s="15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(((J4099/60)/60/24)+DATE(1970,1,1))</f>
        <v>42344.824502314819</v>
      </c>
      <c r="T4099" s="15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1074-D99F-4BC5-AF1E-D0F66D8ABA2B}">
  <dimension ref="A1:E18"/>
  <sheetViews>
    <sheetView workbookViewId="0">
      <selection activeCell="O7" sqref="O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8359</v>
      </c>
      <c r="B1" t="s">
        <v>8315</v>
      </c>
    </row>
    <row r="2" spans="1:5" x14ac:dyDescent="0.35">
      <c r="A2" s="12" t="s">
        <v>8398</v>
      </c>
      <c r="B2" t="s">
        <v>8399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B2B0-89A4-48FE-AAB6-3121E0BAB35F}">
  <dimension ref="B1:I13"/>
  <sheetViews>
    <sheetView zoomScale="85" zoomScaleNormal="85" workbookViewId="0">
      <selection activeCell="E22" sqref="E22"/>
    </sheetView>
  </sheetViews>
  <sheetFormatPr defaultRowHeight="14.5" x14ac:dyDescent="0.35"/>
  <cols>
    <col min="2" max="2" width="13.5429687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2:9" x14ac:dyDescent="0.35">
      <c r="B1" s="22" t="s">
        <v>8380</v>
      </c>
      <c r="C1" s="22" t="s">
        <v>8400</v>
      </c>
      <c r="D1" s="22" t="s">
        <v>8401</v>
      </c>
      <c r="E1" s="22" t="s">
        <v>8402</v>
      </c>
      <c r="F1" s="22" t="s">
        <v>8403</v>
      </c>
      <c r="G1" s="22" t="s">
        <v>8404</v>
      </c>
      <c r="H1" s="22" t="s">
        <v>8405</v>
      </c>
      <c r="I1" s="22" t="s">
        <v>8406</v>
      </c>
    </row>
    <row r="2" spans="2:9" x14ac:dyDescent="0.35">
      <c r="B2" t="s">
        <v>8418</v>
      </c>
      <c r="C2">
        <f>COUNTIFS(Kickstarter!D:D,"&lt;1000",Kickstarter!F:F,"Successful",Kickstarter!R:R,"plays")</f>
        <v>141</v>
      </c>
      <c r="D2">
        <f>COUNTIFS(Kickstarter!D:D,"&lt;1000",Kickstarter!F:F,"Failed",Kickstarter!R:R,"plays")</f>
        <v>45</v>
      </c>
      <c r="E2">
        <f>COUNTIFS(Kickstarter!D:D,"&lt;1000",Kickstarter!F:F,"Canceled",Kickstarter!R:R,"plays")</f>
        <v>0</v>
      </c>
      <c r="F2">
        <f>SUM(C2,D2,E2)</f>
        <v>186</v>
      </c>
      <c r="G2">
        <f>ROUND(C2/$F2*100,0)</f>
        <v>76</v>
      </c>
      <c r="H2">
        <f>ROUND(D2/$F2*100,0)</f>
        <v>24</v>
      </c>
      <c r="I2">
        <f>ROUND(E2/$F2*100,0)</f>
        <v>0</v>
      </c>
    </row>
    <row r="3" spans="2:9" x14ac:dyDescent="0.35">
      <c r="B3" t="s">
        <v>8407</v>
      </c>
      <c r="C3">
        <f>COUNTIFS(Kickstarter!D:D,"&gt;=1000",Kickstarter!D:D,"&lt;4999",Kickstarter!F:F,"Successful",Kickstarter!R:R,"plays")</f>
        <v>387</v>
      </c>
      <c r="D3">
        <f>COUNTIFS(Kickstarter!D:D,"&gt;=1000",Kickstarter!D:D,"&lt;4999",Kickstarter!F:F,"Failed",Kickstarter!R:R,"plays")</f>
        <v>146</v>
      </c>
      <c r="E3">
        <f>COUNTIFS(Kickstarter!D:D,"&gt;=1000",Kickstarter!D:D,"&lt;4999",Kickstarter!F:F,"canceled",Kickstarter!R:R,"plays")</f>
        <v>0</v>
      </c>
      <c r="F3">
        <f t="shared" ref="F3:F13" si="0">SUM(C3,D3,E3)</f>
        <v>533</v>
      </c>
      <c r="G3">
        <f t="shared" ref="G3:I13" si="1">ROUND(C3/$F3*100,0)</f>
        <v>73</v>
      </c>
      <c r="H3">
        <f t="shared" si="1"/>
        <v>27</v>
      </c>
      <c r="I3">
        <f t="shared" si="1"/>
        <v>0</v>
      </c>
    </row>
    <row r="4" spans="2:9" x14ac:dyDescent="0.35">
      <c r="B4" t="s">
        <v>8408</v>
      </c>
      <c r="C4">
        <f>COUNTIFS(Kickstarter!D:D,"&gt;=5000",Kickstarter!D:D,"&lt;9999",Kickstarter!F:F,"Successful",Kickstarter!R:R,"plays")</f>
        <v>93</v>
      </c>
      <c r="D4">
        <f>COUNTIFS(Kickstarter!D:D,"&gt;=5000",Kickstarter!D:D,"&lt;9999",Kickstarter!F:F,"Failed",Kickstarter!R:R,"plays")</f>
        <v>76</v>
      </c>
      <c r="E4">
        <f>COUNTIFS(Kickstarter!D:D,"&gt;=5000",Kickstarter!D:D,"&lt;9999",Kickstarter!F:F,"canceled",Kickstarter!R:R,"plays")</f>
        <v>0</v>
      </c>
      <c r="F4">
        <f t="shared" si="0"/>
        <v>169</v>
      </c>
      <c r="G4">
        <f t="shared" si="1"/>
        <v>55</v>
      </c>
      <c r="H4">
        <f t="shared" si="1"/>
        <v>45</v>
      </c>
      <c r="I4">
        <f t="shared" si="1"/>
        <v>0</v>
      </c>
    </row>
    <row r="5" spans="2:9" x14ac:dyDescent="0.35">
      <c r="B5" t="s">
        <v>8409</v>
      </c>
      <c r="C5">
        <f>COUNTIFS(Kickstarter!D:D,"&gt;=10000",Kickstarter!D:D,"&lt;14999",Kickstarter!F:F,"Successful",Kickstarter!R:R,"plays")</f>
        <v>39</v>
      </c>
      <c r="D5">
        <f>COUNTIFS(Kickstarter!D:D,"&gt;=10000",Kickstarter!D:D,"&lt;14999",Kickstarter!F:F,"Failed",Kickstarter!R:R,"plays")</f>
        <v>33</v>
      </c>
      <c r="E5">
        <f>COUNTIFS(Kickstarter!D:D,"&gt;=10000",Kickstarter!D:D,"&lt;14999",Kickstarter!F:F,"canceled",Kickstarter!R:R,"plays")</f>
        <v>0</v>
      </c>
      <c r="F5">
        <f t="shared" si="0"/>
        <v>72</v>
      </c>
      <c r="G5">
        <f t="shared" si="1"/>
        <v>54</v>
      </c>
      <c r="H5">
        <f t="shared" si="1"/>
        <v>46</v>
      </c>
      <c r="I5">
        <f t="shared" si="1"/>
        <v>0</v>
      </c>
    </row>
    <row r="6" spans="2:9" x14ac:dyDescent="0.35">
      <c r="B6" t="s">
        <v>8410</v>
      </c>
      <c r="C6">
        <f>COUNTIFS(Kickstarter!D:D,"&gt;=15000",Kickstarter!D:D,"&lt;19999",Kickstarter!F:F,"Successful",Kickstarter!R:R,"plays")</f>
        <v>12</v>
      </c>
      <c r="D6">
        <f>COUNTIFS(Kickstarter!D:D,"&gt;=15000",Kickstarter!D:D,"&lt;19999",Kickstarter!F:F,"Failed",Kickstarter!R:R,"plays")</f>
        <v>12</v>
      </c>
      <c r="E6">
        <f>COUNTIFS(Kickstarter!D:D,"&gt;=15000",Kickstarter!D:D,"&lt;19999",Kickstarter!F:F,"canceled",Kickstarter!R:R,"plays")</f>
        <v>0</v>
      </c>
      <c r="F6">
        <f t="shared" si="0"/>
        <v>24</v>
      </c>
      <c r="G6">
        <f t="shared" si="1"/>
        <v>50</v>
      </c>
      <c r="H6">
        <f t="shared" si="1"/>
        <v>50</v>
      </c>
      <c r="I6">
        <f t="shared" si="1"/>
        <v>0</v>
      </c>
    </row>
    <row r="7" spans="2:9" x14ac:dyDescent="0.35">
      <c r="B7" t="s">
        <v>8411</v>
      </c>
      <c r="C7">
        <f>COUNTIFS(Kickstarter!D:D,"&gt;=20000",Kickstarter!D:D,"&lt;24999",Kickstarter!F:F,"Successful",Kickstarter!R:R,"plays")</f>
        <v>9</v>
      </c>
      <c r="D7">
        <f>COUNTIFS(Kickstarter!D:D,"&gt;=20000",Kickstarter!D:D,"&lt;24999",Kickstarter!F:F,"Failed",Kickstarter!R:R,"plays")</f>
        <v>11</v>
      </c>
      <c r="E7">
        <f>COUNTIFS(Kickstarter!D:D,"&gt;=20000",Kickstarter!D:D,"&lt;24999",Kickstarter!F:F,"canceled",Kickstarter!R:R,"plays")</f>
        <v>0</v>
      </c>
      <c r="F7">
        <f t="shared" si="0"/>
        <v>20</v>
      </c>
      <c r="G7">
        <f t="shared" si="1"/>
        <v>45</v>
      </c>
      <c r="H7">
        <f t="shared" si="1"/>
        <v>55</v>
      </c>
      <c r="I7">
        <f t="shared" si="1"/>
        <v>0</v>
      </c>
    </row>
    <row r="8" spans="2:9" x14ac:dyDescent="0.35">
      <c r="B8" t="s">
        <v>8412</v>
      </c>
      <c r="C8">
        <f>COUNTIFS(Kickstarter!D:D,"&gt;=25000",Kickstarter!D:D,"&lt;29999",Kickstarter!F:F,"Successful",Kickstarter!R:R,"plays")</f>
        <v>1</v>
      </c>
      <c r="D8">
        <f>COUNTIFS(Kickstarter!D:D,"&gt;=25000",Kickstarter!D:D,"&lt;29999",Kickstarter!F:F,"Failed",Kickstarter!R:R,"plays")</f>
        <v>4</v>
      </c>
      <c r="E8">
        <f>COUNTIFS(Kickstarter!D:D,"&gt;=25000",Kickstarter!D:D,"&lt;29999",Kickstarter!F:F,"canceled",Kickstarter!R:R,"plays")</f>
        <v>0</v>
      </c>
      <c r="F8">
        <f t="shared" si="0"/>
        <v>5</v>
      </c>
      <c r="G8">
        <f t="shared" si="1"/>
        <v>20</v>
      </c>
      <c r="H8">
        <f t="shared" si="1"/>
        <v>80</v>
      </c>
      <c r="I8">
        <f t="shared" si="1"/>
        <v>0</v>
      </c>
    </row>
    <row r="9" spans="2:9" x14ac:dyDescent="0.35">
      <c r="B9" t="s">
        <v>8413</v>
      </c>
      <c r="C9">
        <f>COUNTIFS(Kickstarter!D:D,"&gt;=30000",Kickstarter!D:D,"&lt;34999",Kickstarter!F:F,"Successful",Kickstarter!R:R,"plays")</f>
        <v>3</v>
      </c>
      <c r="D9">
        <f>COUNTIFS(Kickstarter!D:D,"&gt;=30000",Kickstarter!D:D,"&lt;34999",Kickstarter!F:F,"Failed",Kickstarter!R:R,"plays")</f>
        <v>8</v>
      </c>
      <c r="E9">
        <f>COUNTIFS(Kickstarter!D:D,"&gt;=30000",Kickstarter!D:D,"&lt;34999",Kickstarter!F:F,"canceled",Kickstarter!R:R,"plays")</f>
        <v>0</v>
      </c>
      <c r="F9">
        <f t="shared" si="0"/>
        <v>11</v>
      </c>
      <c r="G9">
        <f t="shared" si="1"/>
        <v>27</v>
      </c>
      <c r="H9">
        <f t="shared" si="1"/>
        <v>73</v>
      </c>
      <c r="I9">
        <f t="shared" si="1"/>
        <v>0</v>
      </c>
    </row>
    <row r="10" spans="2:9" x14ac:dyDescent="0.35">
      <c r="B10" t="s">
        <v>8414</v>
      </c>
      <c r="C10">
        <f>COUNTIFS(Kickstarter!D:D,"&gt;=35000",Kickstarter!D:D,"&lt;39999",Kickstarter!F:F,"Successful",Kickstarter!R:R,"plays")</f>
        <v>4</v>
      </c>
      <c r="D10">
        <f>COUNTIFS(Kickstarter!D:D,"&gt;=35000",Kickstarter!D:D,"&lt;39999",Kickstarter!F:F,"Failed",Kickstarter!R:R,"plays")</f>
        <v>2</v>
      </c>
      <c r="E10">
        <f>COUNTIFS(Kickstarter!D:D,"&gt;=35000",Kickstarter!D:D,"&lt;39999",Kickstarter!F:F,"canceled",Kickstarter!R:R,"plays")</f>
        <v>0</v>
      </c>
      <c r="F10">
        <f t="shared" si="0"/>
        <v>6</v>
      </c>
      <c r="G10">
        <f t="shared" si="1"/>
        <v>67</v>
      </c>
      <c r="H10">
        <f t="shared" si="1"/>
        <v>33</v>
      </c>
      <c r="I10">
        <f t="shared" si="1"/>
        <v>0</v>
      </c>
    </row>
    <row r="11" spans="2:9" x14ac:dyDescent="0.35">
      <c r="B11" t="s">
        <v>8415</v>
      </c>
      <c r="C11">
        <f>COUNTIFS(Kickstarter!D:D,"&gt;=40000",Kickstarter!D:D,"&lt;44999",Kickstarter!F:F,"Successful",Kickstarter!R:R,"plays")</f>
        <v>2</v>
      </c>
      <c r="D11">
        <f>COUNTIFS(Kickstarter!D:D,"&gt;=40000",Kickstarter!D:D,"&lt;44999",Kickstarter!F:F,"Failed",Kickstarter!R:R,"plays")</f>
        <v>1</v>
      </c>
      <c r="E11">
        <f>COUNTIFS(Kickstarter!D:D,"&gt;=40000",Kickstarter!D:D,"&lt;44999",Kickstarter!F:F,"canceled",Kickstarter!R:R,"plays")</f>
        <v>0</v>
      </c>
      <c r="F11">
        <f t="shared" si="0"/>
        <v>3</v>
      </c>
      <c r="G11">
        <f t="shared" si="1"/>
        <v>67</v>
      </c>
      <c r="H11">
        <f t="shared" si="1"/>
        <v>33</v>
      </c>
      <c r="I11">
        <f t="shared" si="1"/>
        <v>0</v>
      </c>
    </row>
    <row r="12" spans="2:9" x14ac:dyDescent="0.35">
      <c r="B12" t="s">
        <v>8416</v>
      </c>
      <c r="C12">
        <f>COUNTIFS(Kickstarter!D:D,"&gt;=45000",Kickstarter!D:D,"&lt;49999",Kickstarter!F:F,"Successful",Kickstarter!R:R,"plays")</f>
        <v>0</v>
      </c>
      <c r="D12">
        <f>COUNTIFS(Kickstarter!D:D,"&gt;=45000",Kickstarter!D:D,"&lt;49999",Kickstarter!F:F,"Failed",Kickstarter!R:R,"plays")</f>
        <v>1</v>
      </c>
      <c r="E12">
        <f>COUNTIFS(Kickstarter!D:D,"&gt;=45000",Kickstarter!D:D,"&lt;49999",Kickstarter!F:F,"canceled",Kickstarter!R:R,"plays")</f>
        <v>0</v>
      </c>
      <c r="F12">
        <f t="shared" si="0"/>
        <v>1</v>
      </c>
      <c r="G12">
        <f t="shared" si="1"/>
        <v>0</v>
      </c>
      <c r="H12">
        <f t="shared" si="1"/>
        <v>100</v>
      </c>
      <c r="I12">
        <f t="shared" si="1"/>
        <v>0</v>
      </c>
    </row>
    <row r="13" spans="2:9" x14ac:dyDescent="0.35">
      <c r="B13" t="s">
        <v>8417</v>
      </c>
      <c r="C13">
        <f>COUNTIFS(Kickstarter!D:D,"&gt;=50000",Kickstarter!F:F,"Successful",Kickstarter!R:R,"plays")</f>
        <v>2</v>
      </c>
      <c r="D13">
        <f>COUNTIFS(Kickstarter!D:D,"&gt;=50000",Kickstarter!F:F,"Failed",Kickstarter!R:R,"plays")</f>
        <v>14</v>
      </c>
      <c r="E13">
        <f>COUNTIFS(Kickstarter!D:D,"&gt;=45000",Kickstarter!D:D,"&lt;49999",Kickstarter!F:F,"canceled",Kickstarter!R:R,"plays")</f>
        <v>0</v>
      </c>
      <c r="F13">
        <f t="shared" si="0"/>
        <v>16</v>
      </c>
      <c r="G13">
        <f t="shared" si="1"/>
        <v>13</v>
      </c>
      <c r="H13">
        <f t="shared" si="1"/>
        <v>88</v>
      </c>
      <c r="I13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36C7E-FB90-4E6E-ABD5-6B970FBFB439}">
  <dimension ref="A1:F6"/>
  <sheetViews>
    <sheetView workbookViewId="0">
      <selection activeCell="C20" sqref="C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FEC45-E343-4E99-818F-EC8FF7701FF6}">
  <dimension ref="A1:E7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8359</v>
      </c>
      <c r="B1" t="s">
        <v>8315</v>
      </c>
    </row>
    <row r="2" spans="1:5" x14ac:dyDescent="0.35">
      <c r="A2" s="12" t="s">
        <v>8222</v>
      </c>
      <c r="B2" t="s">
        <v>8224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5FBF-29F7-4D9A-A256-45073E8CDF12}">
  <dimension ref="A1:F17"/>
  <sheetViews>
    <sheetView workbookViewId="0">
      <selection activeCell="O6" sqref="O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8359</v>
      </c>
      <c r="B1" t="s">
        <v>8315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6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6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6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6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6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6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6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6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6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6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6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346D2-9FBF-4A1B-ABF2-54488681E60D}">
  <dimension ref="A1:F6"/>
  <sheetViews>
    <sheetView topLeftCell="B1" workbookViewId="0">
      <selection activeCell="F5" sqref="F5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</cols>
  <sheetData>
    <row r="1" spans="1:6" x14ac:dyDescent="0.35">
      <c r="A1" s="18" t="s">
        <v>8378</v>
      </c>
      <c r="B1" s="18" t="s">
        <v>8379</v>
      </c>
      <c r="C1" s="18" t="s">
        <v>8380</v>
      </c>
      <c r="D1" s="18" t="s">
        <v>8381</v>
      </c>
      <c r="E1" s="18" t="s">
        <v>8307</v>
      </c>
      <c r="F1" s="18" t="s">
        <v>8382</v>
      </c>
    </row>
    <row r="2" spans="1:6" x14ac:dyDescent="0.35">
      <c r="A2" s="17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VLOOKUP(A2,Kickstarter!B:D,3,FALSE)</f>
        <v>2000</v>
      </c>
      <c r="D2" s="17">
        <f>VLOOKUP(A2,Kickstarter!B:E,4,FALSE)</f>
        <v>2020</v>
      </c>
      <c r="E2" s="17">
        <f>VLOOKUP(A2,Kickstarter!B:P,15,FALSE)</f>
        <v>51.79</v>
      </c>
      <c r="F2" s="17">
        <f>VLOOKUP(A2,Kickstarter!B:L,11,FALSE)</f>
        <v>39</v>
      </c>
    </row>
    <row r="3" spans="1:6" x14ac:dyDescent="0.35">
      <c r="A3" s="17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VLOOKUP(A3,Kickstarter!B:D,3,FALSE)</f>
        <v>2000</v>
      </c>
      <c r="D3" s="17">
        <f>VLOOKUP(A3,Kickstarter!B:E,4,FALSE)</f>
        <v>2020</v>
      </c>
      <c r="E3" s="17">
        <f>VLOOKUP(A3,Kickstarter!B:P,15,FALSE)</f>
        <v>36.07</v>
      </c>
      <c r="F3" s="17">
        <f>VLOOKUP(A3,Kickstarter!B:L,11,FALSE)</f>
        <v>56</v>
      </c>
    </row>
    <row r="4" spans="1:6" x14ac:dyDescent="0.35">
      <c r="A4" s="17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VLOOKUP(A4,Kickstarter!B:D,3,FALSE)</f>
        <v>1500</v>
      </c>
      <c r="D4" s="17">
        <f>VLOOKUP(A4,Kickstarter!B:E,4,FALSE)</f>
        <v>2576</v>
      </c>
      <c r="E4" s="17">
        <f>VLOOKUP(A4,Kickstarter!B:P,15,FALSE)</f>
        <v>33.03</v>
      </c>
      <c r="F4" s="17">
        <f>VLOOKUP(A4,Kickstarter!B:L,11,FALSE)</f>
        <v>78</v>
      </c>
    </row>
    <row r="5" spans="1:6" x14ac:dyDescent="0.35">
      <c r="A5" s="17" t="s">
        <v>3329</v>
      </c>
      <c r="B5" s="17" t="str">
        <f>VLOOKUP(A5,Kickstarter!B:C,2,FALSE)</f>
        <v>Jestia and Raedon is a brand new romantic comedy play going to the Edinburgh Fringe Festival this summer.</v>
      </c>
      <c r="C5" s="17">
        <f>VLOOKUP(A5,Kickstarter!B:D,3,FALSE)</f>
        <v>1000</v>
      </c>
      <c r="D5" s="17">
        <f>VLOOKUP(A5,Kickstarter!B:E,4,FALSE)</f>
        <v>1168</v>
      </c>
      <c r="E5" s="17">
        <f>VLOOKUP(A5,Kickstarter!B:P,15,FALSE)</f>
        <v>44.92</v>
      </c>
      <c r="F5" s="17">
        <f>VLOOKUP(A5,Kickstarter!B:L,11,FALSE)</f>
        <v>26</v>
      </c>
    </row>
    <row r="6" spans="1:6" x14ac:dyDescent="0.35">
      <c r="A6" s="17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VLOOKUP(A6,Kickstarter!B:D,3,FALSE)</f>
        <v>4000</v>
      </c>
      <c r="D6" s="17">
        <f>VLOOKUP(A6,Kickstarter!B:E,4,FALSE)</f>
        <v>4137</v>
      </c>
      <c r="E6" s="17">
        <f>VLOOKUP(A6,Kickstarter!B:P,15,FALSE)</f>
        <v>36.61</v>
      </c>
      <c r="F6" s="17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959E4-BEA8-4E81-B9A1-809C4DD2E06A}">
  <dimension ref="A1:C14"/>
  <sheetViews>
    <sheetView workbookViewId="0">
      <selection activeCell="B2" sqref="B2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A1" s="9" t="s">
        <v>8389</v>
      </c>
      <c r="B1" s="19" t="s">
        <v>8383</v>
      </c>
      <c r="C1" s="19" t="s">
        <v>8384</v>
      </c>
    </row>
    <row r="2" spans="1:3" x14ac:dyDescent="0.35">
      <c r="A2" t="s">
        <v>8385</v>
      </c>
      <c r="B2" s="20" t="e">
        <f>AVERAGE(#REF!)</f>
        <v>#REF!</v>
      </c>
      <c r="C2" s="20" t="e">
        <f>AVERAGE(#REF!)</f>
        <v>#REF!</v>
      </c>
    </row>
    <row r="3" spans="1:3" x14ac:dyDescent="0.35">
      <c r="A3" t="s">
        <v>8386</v>
      </c>
      <c r="B3" s="20" t="e">
        <f>MEDIAN(#REF!)</f>
        <v>#REF!</v>
      </c>
      <c r="C3" s="20" t="e">
        <f>MEDIAN(#REF!)</f>
        <v>#REF!</v>
      </c>
    </row>
    <row r="4" spans="1:3" x14ac:dyDescent="0.35">
      <c r="A4" t="s">
        <v>8393</v>
      </c>
      <c r="B4" s="20" t="e">
        <f>_xlfn.STDEV.P(#REF!)</f>
        <v>#REF!</v>
      </c>
      <c r="C4" s="20" t="e">
        <f>_xlfn.STDEV.P(#REF!)</f>
        <v>#REF!</v>
      </c>
    </row>
    <row r="5" spans="1:3" x14ac:dyDescent="0.35">
      <c r="A5" t="s">
        <v>8390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5">
      <c r="A6" t="s">
        <v>8391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35">
      <c r="A7" t="s">
        <v>8392</v>
      </c>
      <c r="B7" s="20" t="e">
        <f>B5-B6</f>
        <v>#REF!</v>
      </c>
      <c r="C7" s="20" t="e">
        <f>C5-C6</f>
        <v>#REF!</v>
      </c>
    </row>
    <row r="8" spans="1:3" x14ac:dyDescent="0.35">
      <c r="B8" s="20"/>
      <c r="C8" s="20"/>
    </row>
    <row r="9" spans="1:3" x14ac:dyDescent="0.35">
      <c r="A9" t="s">
        <v>8387</v>
      </c>
      <c r="B9" s="20" t="e">
        <f>AVERAGE(#REF!)</f>
        <v>#REF!</v>
      </c>
      <c r="C9" s="20" t="e">
        <f>AVERAGE(#REF!)</f>
        <v>#REF!</v>
      </c>
    </row>
    <row r="10" spans="1:3" x14ac:dyDescent="0.35">
      <c r="A10" t="s">
        <v>8388</v>
      </c>
      <c r="B10" s="20" t="e">
        <f>MEDIAN(#REF!)</f>
        <v>#REF!</v>
      </c>
      <c r="C10" s="20" t="e">
        <f>MEDIAN(#REF!)</f>
        <v>#REF!</v>
      </c>
    </row>
    <row r="11" spans="1:3" x14ac:dyDescent="0.35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x14ac:dyDescent="0.35">
      <c r="A12" t="s">
        <v>8395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5">
      <c r="A13" t="s">
        <v>8396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35">
      <c r="A14" t="s">
        <v>8397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M. Abouei</cp:lastModifiedBy>
  <dcterms:created xsi:type="dcterms:W3CDTF">2017-04-20T15:17:24Z</dcterms:created>
  <dcterms:modified xsi:type="dcterms:W3CDTF">2022-08-29T22:26:12Z</dcterms:modified>
</cp:coreProperties>
</file>